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5"/>
  <workbookPr/>
  <mc:AlternateContent xmlns:mc="http://schemas.openxmlformats.org/markup-compatibility/2006">
    <mc:Choice Requires="x15">
      <x15ac:absPath xmlns:x15ac="http://schemas.microsoft.com/office/spreadsheetml/2010/11/ac" url="https://seforallorg.sharepoint.com/Middle-Earth/Shared Documents/4. Project Folders/Universal Energy Facility RBF/01. Admin/1.6 Impact Calculations/MG Carbon Emissions Tool Final Version/"/>
    </mc:Choice>
  </mc:AlternateContent>
  <xr:revisionPtr revIDLastSave="0" documentId="8_{10908F0F-E609-44F7-8081-DBA6F4379134}" xr6:coauthVersionLast="47" xr6:coauthVersionMax="47" xr10:uidLastSave="{00000000-0000-0000-0000-000000000000}"/>
  <bookViews>
    <workbookView xWindow="-120" yWindow="-120" windowWidth="20730" windowHeight="11160" firstSheet="3" activeTab="3" xr2:uid="{8C1FD44D-D205-4465-A213-F28D91930C1D}"/>
  </bookViews>
  <sheets>
    <sheet name="Instructions" sheetId="15" r:id="rId1"/>
    <sheet name="Dashboard" sheetId="9" r:id="rId2"/>
    <sheet name="Lists" sheetId="11" state="hidden" r:id="rId3"/>
    <sheet name="Inputs" sheetId="8" r:id="rId4"/>
    <sheet name="Emissions calculations" sheetId="10" r:id="rId5"/>
    <sheet name="Kerosene emissions inputs" sheetId="13" r:id="rId6"/>
    <sheet name="Diesel genset emissions inputs" sheetId="14" r:id="rId7"/>
    <sheet name="Household consumption" sheetId="16" r:id="rId8"/>
  </sheets>
  <definedNames>
    <definedName name="_ftn1" localSheetId="5">'Kerosene emissions inputs'!$G$4</definedName>
    <definedName name="_ftnref1" localSheetId="5">'Kerosene emissions inputs'!$G$1</definedName>
    <definedName name="_xlchart.v1.0" hidden="1">Dashboard!$A$44:$A$46</definedName>
    <definedName name="_xlchart.v1.1" hidden="1">Dashboard!$C$44:$C$46</definedName>
    <definedName name="_xlnm.Print_Area" localSheetId="1">Dashboard!$X$1,Dashboard!$A$1:$W$49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0" l="1"/>
  <c r="I17" i="8"/>
  <c r="G6" i="16"/>
  <c r="G5" i="16"/>
  <c r="B5" i="16"/>
  <c r="G4" i="16"/>
  <c r="G7" i="16" s="1"/>
  <c r="G10" i="16" s="1"/>
  <c r="B4" i="16"/>
  <c r="G3" i="16"/>
  <c r="B3" i="16"/>
  <c r="B7" i="16" s="1"/>
  <c r="B10" i="16" s="1"/>
  <c r="B24" i="8" l="1"/>
  <c r="E15" i="10" l="1"/>
  <c r="C18" i="13"/>
  <c r="C56" i="13"/>
  <c r="C57" i="13" s="1"/>
  <c r="C58" i="13" s="1"/>
  <c r="C59" i="13" s="1"/>
  <c r="C60" i="13" s="1"/>
  <c r="C61" i="13" s="1"/>
  <c r="C62" i="13" s="1"/>
  <c r="C63" i="13" s="1"/>
  <c r="C64" i="13" s="1"/>
  <c r="C65" i="13" s="1"/>
  <c r="C66" i="13" s="1"/>
  <c r="C39" i="13"/>
  <c r="C40" i="13" s="1"/>
  <c r="C41" i="13" s="1"/>
  <c r="C42" i="13" s="1"/>
  <c r="C43" i="13" s="1"/>
  <c r="C44" i="13" s="1"/>
  <c r="C45" i="13" s="1"/>
  <c r="C46" i="13" s="1"/>
  <c r="C47" i="13" s="1"/>
  <c r="C48" i="13" s="1"/>
  <c r="C49" i="13" s="1"/>
  <c r="C50" i="13" s="1"/>
  <c r="C51" i="13" s="1"/>
  <c r="C52" i="13" s="1"/>
  <c r="C53" i="13" s="1"/>
  <c r="C54" i="13" s="1"/>
  <c r="C55" i="13" s="1"/>
  <c r="C19" i="13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37" i="13" s="1"/>
  <c r="C38" i="13" s="1"/>
  <c r="C17" i="13"/>
  <c r="C16" i="13"/>
  <c r="I21" i="8" l="1"/>
  <c r="B10" i="8" l="1"/>
  <c r="B11" i="8"/>
  <c r="O15" i="10"/>
  <c r="P15" i="10"/>
  <c r="Q15" i="10"/>
  <c r="R15" i="10"/>
  <c r="S15" i="10"/>
  <c r="T15" i="10"/>
  <c r="U15" i="10"/>
  <c r="V15" i="10"/>
  <c r="W15" i="10"/>
  <c r="X15" i="10"/>
  <c r="L13" i="10"/>
  <c r="M13" i="10"/>
  <c r="O13" i="10"/>
  <c r="P13" i="10"/>
  <c r="Q13" i="10"/>
  <c r="R13" i="10"/>
  <c r="S13" i="10"/>
  <c r="T13" i="10"/>
  <c r="U13" i="10"/>
  <c r="V13" i="10"/>
  <c r="W13" i="10"/>
  <c r="X13" i="10"/>
  <c r="C3" i="10"/>
  <c r="N13" i="10" s="1"/>
  <c r="N13" i="8"/>
  <c r="J14" i="8"/>
  <c r="J13" i="8"/>
  <c r="K13" i="10" l="1"/>
  <c r="J13" i="10"/>
  <c r="I25" i="8"/>
  <c r="I3" i="13"/>
  <c r="I4" i="13"/>
  <c r="I2" i="13"/>
  <c r="H3" i="13"/>
  <c r="H4" i="13"/>
  <c r="H2" i="13"/>
  <c r="J2" i="13" l="1"/>
  <c r="D14" i="9"/>
  <c r="D15" i="9"/>
  <c r="D16" i="9"/>
  <c r="D17" i="9"/>
  <c r="D13" i="9"/>
  <c r="C14" i="9"/>
  <c r="C15" i="9"/>
  <c r="C16" i="9"/>
  <c r="C17" i="9"/>
  <c r="C13" i="9"/>
  <c r="D7" i="9"/>
  <c r="D8" i="9"/>
  <c r="D9" i="9"/>
  <c r="D10" i="9"/>
  <c r="D11" i="9"/>
  <c r="D6" i="9"/>
  <c r="C7" i="9"/>
  <c r="C8" i="9"/>
  <c r="C9" i="9"/>
  <c r="C10" i="9"/>
  <c r="C11" i="9"/>
  <c r="C6" i="9"/>
  <c r="C38" i="9" l="1"/>
  <c r="C37" i="9"/>
  <c r="B38" i="9"/>
  <c r="B37" i="9"/>
  <c r="B2" i="9"/>
  <c r="C27" i="9" l="1"/>
  <c r="A2" i="9"/>
  <c r="B41" i="10" l="1"/>
  <c r="C41" i="10" s="1"/>
  <c r="B42" i="10"/>
  <c r="C42" i="10" s="1"/>
  <c r="B43" i="10"/>
  <c r="C43" i="10" s="1"/>
  <c r="B44" i="10"/>
  <c r="C44" i="10" s="1"/>
  <c r="A44" i="10"/>
  <c r="A43" i="10"/>
  <c r="A42" i="10"/>
  <c r="A41" i="10"/>
  <c r="B40" i="10"/>
  <c r="C40" i="10" s="1"/>
  <c r="A40" i="10"/>
  <c r="B51" i="10"/>
  <c r="C51" i="10" s="1"/>
  <c r="A51" i="10"/>
  <c r="B50" i="10"/>
  <c r="C50" i="10" s="1"/>
  <c r="A50" i="10"/>
  <c r="D33" i="10"/>
  <c r="E9" i="10"/>
  <c r="F9" i="10" l="1"/>
  <c r="C52" i="10"/>
  <c r="C45" i="10"/>
  <c r="D32" i="10"/>
  <c r="D31" i="10"/>
  <c r="D30" i="10"/>
  <c r="B31" i="10"/>
  <c r="C31" i="10" s="1"/>
  <c r="B32" i="10"/>
  <c r="C32" i="10" s="1"/>
  <c r="A32" i="10"/>
  <c r="A31" i="10"/>
  <c r="A30" i="10"/>
  <c r="G9" i="10" l="1"/>
  <c r="H9" i="10" s="1"/>
  <c r="I9" i="10" s="1"/>
  <c r="I19" i="8"/>
  <c r="J4" i="13"/>
  <c r="J3" i="13"/>
  <c r="I20" i="8" s="1"/>
  <c r="C24" i="10" s="1"/>
  <c r="B30" i="10"/>
  <c r="D26" i="10"/>
  <c r="B25" i="10"/>
  <c r="B24" i="10"/>
  <c r="B23" i="10"/>
  <c r="C25" i="10" l="1"/>
  <c r="C30" i="10"/>
  <c r="C33" i="10" s="1"/>
  <c r="J9" i="10"/>
  <c r="O5" i="13"/>
  <c r="C23" i="10" s="1"/>
  <c r="I18" i="8"/>
  <c r="D4" i="10"/>
  <c r="C26" i="10" l="1"/>
  <c r="K9" i="10"/>
  <c r="L9" i="10" s="1"/>
  <c r="M9" i="10" s="1"/>
  <c r="N9" i="10" s="1"/>
  <c r="O9" i="10" s="1"/>
  <c r="P9" i="10" s="1"/>
  <c r="Q9" i="10" s="1"/>
  <c r="R9" i="10" s="1"/>
  <c r="S9" i="10" s="1"/>
  <c r="T9" i="10" s="1"/>
  <c r="U9" i="10" s="1"/>
  <c r="V9" i="10" s="1"/>
  <c r="W9" i="10" s="1"/>
  <c r="X9" i="10" s="1"/>
  <c r="C4" i="10"/>
  <c r="C9" i="10" l="1"/>
  <c r="M15" i="10"/>
  <c r="N15" i="10"/>
  <c r="F15" i="10"/>
  <c r="I15" i="10"/>
  <c r="J15" i="10"/>
  <c r="G15" i="10"/>
  <c r="K15" i="10"/>
  <c r="H15" i="10"/>
  <c r="L15" i="10"/>
  <c r="E13" i="10" l="1"/>
  <c r="E14" i="10" s="1"/>
  <c r="D3" i="10"/>
  <c r="I13" i="10" l="1"/>
  <c r="I14" i="10" s="1"/>
  <c r="I53" i="10" s="1"/>
  <c r="H13" i="10"/>
  <c r="F13" i="10"/>
  <c r="F14" i="10" s="1"/>
  <c r="F53" i="10" s="1"/>
  <c r="G13" i="10"/>
  <c r="J14" i="10"/>
  <c r="J53" i="10" s="1"/>
  <c r="E53" i="10"/>
  <c r="K14" i="10" l="1"/>
  <c r="K53" i="10" s="1"/>
  <c r="G14" i="10"/>
  <c r="G53" i="10" s="1"/>
  <c r="H14" i="10"/>
  <c r="H53" i="10" s="1"/>
  <c r="L14" i="10" l="1"/>
  <c r="L53" i="10" s="1"/>
  <c r="M14" i="10" l="1"/>
  <c r="M53" i="10" s="1"/>
  <c r="N14" i="10" l="1"/>
  <c r="N53" i="10" s="1"/>
  <c r="O14" i="10" l="1"/>
  <c r="O53" i="10" s="1"/>
  <c r="P14" i="10" l="1"/>
  <c r="P53" i="10" s="1"/>
  <c r="Q14" i="10" l="1"/>
  <c r="Q53" i="10" s="1"/>
  <c r="R14" i="10" l="1"/>
  <c r="R53" i="10" s="1"/>
  <c r="S14" i="10" l="1"/>
  <c r="S53" i="10" s="1"/>
  <c r="T14" i="10" l="1"/>
  <c r="T53" i="10" s="1"/>
  <c r="U14" i="10" l="1"/>
  <c r="U53" i="10" s="1"/>
  <c r="V14" i="10" l="1"/>
  <c r="V53" i="10" s="1"/>
  <c r="W14" i="10" l="1"/>
  <c r="W53" i="10" s="1"/>
  <c r="X14" i="10" l="1"/>
  <c r="X53" i="10" l="1"/>
  <c r="C53" i="10" s="1"/>
  <c r="C41" i="9" s="1"/>
  <c r="C46" i="9" s="1"/>
  <c r="C14" i="10"/>
  <c r="C32" i="9" s="1"/>
  <c r="E11" i="10"/>
  <c r="F11" i="10" s="1"/>
  <c r="G11" i="10" s="1"/>
  <c r="H11" i="10" s="1"/>
  <c r="I11" i="10" s="1"/>
  <c r="J11" i="10" s="1"/>
  <c r="K11" i="10" s="1"/>
  <c r="L11" i="10" s="1"/>
  <c r="M11" i="10" s="1"/>
  <c r="N11" i="10" s="1"/>
  <c r="O11" i="10" s="1"/>
  <c r="P11" i="10" s="1"/>
  <c r="Q11" i="10" s="1"/>
  <c r="R11" i="10" s="1"/>
  <c r="S11" i="10" s="1"/>
  <c r="T11" i="10" s="1"/>
  <c r="U11" i="10" s="1"/>
  <c r="V11" i="10" s="1"/>
  <c r="W11" i="10" s="1"/>
  <c r="X11" i="10" s="1"/>
  <c r="E10" i="10" l="1"/>
  <c r="E35" i="10" l="1"/>
  <c r="E36" i="10" s="1"/>
  <c r="E29" i="10"/>
  <c r="E28" i="10"/>
  <c r="F10" i="10"/>
  <c r="F35" i="10" s="1"/>
  <c r="E16" i="10"/>
  <c r="E18" i="10" s="1"/>
  <c r="E46" i="10" s="1"/>
  <c r="E47" i="10" s="1"/>
  <c r="C11" i="10"/>
  <c r="C29" i="9" s="1"/>
  <c r="E17" i="10" l="1"/>
  <c r="G10" i="10"/>
  <c r="F16" i="10"/>
  <c r="E37" i="10"/>
  <c r="E48" i="10" s="1"/>
  <c r="F28" i="10"/>
  <c r="F29" i="10"/>
  <c r="F18" i="10" l="1"/>
  <c r="F46" i="10" s="1"/>
  <c r="F17" i="10"/>
  <c r="H10" i="10"/>
  <c r="G16" i="10"/>
  <c r="G35" i="10"/>
  <c r="F36" i="10"/>
  <c r="F37" i="10" s="1"/>
  <c r="G28" i="10"/>
  <c r="G29" i="10"/>
  <c r="E55" i="10" l="1"/>
  <c r="I10" i="10"/>
  <c r="H16" i="10"/>
  <c r="G36" i="10"/>
  <c r="G37" i="10" s="1"/>
  <c r="G18" i="10"/>
  <c r="G17" i="10"/>
  <c r="H35" i="10"/>
  <c r="F47" i="10"/>
  <c r="H28" i="10"/>
  <c r="H29" i="10"/>
  <c r="G46" i="10" l="1"/>
  <c r="G47" i="10" s="1"/>
  <c r="G48" i="10" s="1"/>
  <c r="G55" i="10" s="1"/>
  <c r="H36" i="10"/>
  <c r="H37" i="10" s="1"/>
  <c r="H17" i="10"/>
  <c r="H18" i="10"/>
  <c r="H46" i="10" s="1"/>
  <c r="F48" i="10"/>
  <c r="F55" i="10" s="1"/>
  <c r="J10" i="10"/>
  <c r="I16" i="10"/>
  <c r="I35" i="10"/>
  <c r="I28" i="10"/>
  <c r="I29" i="10"/>
  <c r="K10" i="10" l="1"/>
  <c r="K35" i="10" s="1"/>
  <c r="J16" i="10"/>
  <c r="I17" i="10"/>
  <c r="I18" i="10"/>
  <c r="H47" i="10"/>
  <c r="J35" i="10"/>
  <c r="I36" i="10"/>
  <c r="I37" i="10" s="1"/>
  <c r="J28" i="10"/>
  <c r="J29" i="10"/>
  <c r="I46" i="10" l="1"/>
  <c r="I47" i="10" s="1"/>
  <c r="I48" i="10" s="1"/>
  <c r="I55" i="10" s="1"/>
  <c r="J36" i="10"/>
  <c r="J37" i="10" s="1"/>
  <c r="H48" i="10"/>
  <c r="H55" i="10" s="1"/>
  <c r="J18" i="10"/>
  <c r="J17" i="10"/>
  <c r="L10" i="10"/>
  <c r="L35" i="10" s="1"/>
  <c r="K16" i="10"/>
  <c r="K28" i="10"/>
  <c r="K36" i="10" s="1"/>
  <c r="K29" i="10"/>
  <c r="J46" i="10" l="1"/>
  <c r="J47" i="10" s="1"/>
  <c r="J48" i="10" s="1"/>
  <c r="J55" i="10" s="1"/>
  <c r="M10" i="10"/>
  <c r="M35" i="10" s="1"/>
  <c r="L16" i="10"/>
  <c r="K17" i="10"/>
  <c r="K18" i="10"/>
  <c r="L28" i="10"/>
  <c r="L36" i="10" s="1"/>
  <c r="L29" i="10"/>
  <c r="K37" i="10"/>
  <c r="K46" i="10" l="1"/>
  <c r="K47" i="10" s="1"/>
  <c r="K48" i="10" s="1"/>
  <c r="K55" i="10" s="1"/>
  <c r="L17" i="10"/>
  <c r="L18" i="10"/>
  <c r="N10" i="10"/>
  <c r="N35" i="10" s="1"/>
  <c r="M16" i="10"/>
  <c r="M28" i="10"/>
  <c r="M36" i="10" s="1"/>
  <c r="M29" i="10"/>
  <c r="L37" i="10"/>
  <c r="L46" i="10" l="1"/>
  <c r="L47" i="10" s="1"/>
  <c r="L48" i="10" s="1"/>
  <c r="L55" i="10" s="1"/>
  <c r="M18" i="10"/>
  <c r="M17" i="10"/>
  <c r="O10" i="10"/>
  <c r="O35" i="10" s="1"/>
  <c r="N16" i="10"/>
  <c r="N28" i="10"/>
  <c r="N36" i="10" s="1"/>
  <c r="N29" i="10"/>
  <c r="M37" i="10"/>
  <c r="M46" i="10" l="1"/>
  <c r="M47" i="10" s="1"/>
  <c r="M48" i="10" s="1"/>
  <c r="M55" i="10" s="1"/>
  <c r="N17" i="10"/>
  <c r="N18" i="10"/>
  <c r="P10" i="10"/>
  <c r="O16" i="10"/>
  <c r="O28" i="10"/>
  <c r="O36" i="10" s="1"/>
  <c r="O29" i="10"/>
  <c r="N37" i="10"/>
  <c r="N46" i="10" l="1"/>
  <c r="N47" i="10" s="1"/>
  <c r="N48" i="10" s="1"/>
  <c r="N55" i="10" s="1"/>
  <c r="Q10" i="10"/>
  <c r="P16" i="10"/>
  <c r="P35" i="10"/>
  <c r="O17" i="10"/>
  <c r="O18" i="10"/>
  <c r="O37" i="10"/>
  <c r="P28" i="10"/>
  <c r="P29" i="10"/>
  <c r="O46" i="10" l="1"/>
  <c r="O47" i="10" s="1"/>
  <c r="O48" i="10" s="1"/>
  <c r="O55" i="10" s="1"/>
  <c r="P36" i="10"/>
  <c r="P37" i="10" s="1"/>
  <c r="R10" i="10"/>
  <c r="Q16" i="10"/>
  <c r="Q35" i="10"/>
  <c r="P17" i="10"/>
  <c r="P18" i="10"/>
  <c r="Q28" i="10"/>
  <c r="Q29" i="10"/>
  <c r="P46" i="10" l="1"/>
  <c r="P47" i="10" s="1"/>
  <c r="P48" i="10" s="1"/>
  <c r="P55" i="10" s="1"/>
  <c r="S10" i="10"/>
  <c r="R16" i="10"/>
  <c r="Q17" i="10"/>
  <c r="Q18" i="10"/>
  <c r="Q36" i="10"/>
  <c r="Q37" i="10" s="1"/>
  <c r="R35" i="10"/>
  <c r="R28" i="10"/>
  <c r="R29" i="10"/>
  <c r="Q46" i="10" l="1"/>
  <c r="Q47" i="10" s="1"/>
  <c r="Q48" i="10" s="1"/>
  <c r="Q55" i="10" s="1"/>
  <c r="R36" i="10"/>
  <c r="R37" i="10" s="1"/>
  <c r="T10" i="10"/>
  <c r="S16" i="10"/>
  <c r="R18" i="10"/>
  <c r="R17" i="10"/>
  <c r="S35" i="10"/>
  <c r="S28" i="10"/>
  <c r="S29" i="10"/>
  <c r="R46" i="10" l="1"/>
  <c r="R47" i="10" s="1"/>
  <c r="R48" i="10" s="1"/>
  <c r="R55" i="10" s="1"/>
  <c r="S36" i="10"/>
  <c r="S37" i="10" s="1"/>
  <c r="S18" i="10"/>
  <c r="S17" i="10"/>
  <c r="U10" i="10"/>
  <c r="U35" i="10" s="1"/>
  <c r="T16" i="10"/>
  <c r="T35" i="10"/>
  <c r="T28" i="10"/>
  <c r="T29" i="10"/>
  <c r="S46" i="10" l="1"/>
  <c r="S47" i="10" s="1"/>
  <c r="S48" i="10" s="1"/>
  <c r="S55" i="10" s="1"/>
  <c r="T36" i="10"/>
  <c r="T37" i="10" s="1"/>
  <c r="T18" i="10"/>
  <c r="T17" i="10"/>
  <c r="V10" i="10"/>
  <c r="V35" i="10" s="1"/>
  <c r="U16" i="10"/>
  <c r="U28" i="10"/>
  <c r="U36" i="10" s="1"/>
  <c r="U29" i="10"/>
  <c r="T46" i="10" l="1"/>
  <c r="T47" i="10" s="1"/>
  <c r="T48" i="10" s="1"/>
  <c r="T55" i="10" s="1"/>
  <c r="U18" i="10"/>
  <c r="U17" i="10"/>
  <c r="W10" i="10"/>
  <c r="W35" i="10" s="1"/>
  <c r="V16" i="10"/>
  <c r="U37" i="10"/>
  <c r="V28" i="10"/>
  <c r="V36" i="10" s="1"/>
  <c r="V29" i="10"/>
  <c r="U46" i="10" l="1"/>
  <c r="U47" i="10" s="1"/>
  <c r="U48" i="10" s="1"/>
  <c r="U55" i="10" s="1"/>
  <c r="V18" i="10"/>
  <c r="V17" i="10"/>
  <c r="X10" i="10"/>
  <c r="X16" i="10" s="1"/>
  <c r="W16" i="10"/>
  <c r="W28" i="10"/>
  <c r="W36" i="10" s="1"/>
  <c r="W29" i="10"/>
  <c r="V37" i="10"/>
  <c r="V46" i="10" l="1"/>
  <c r="V47" i="10" s="1"/>
  <c r="V48" i="10" s="1"/>
  <c r="V55" i="10" s="1"/>
  <c r="X17" i="10"/>
  <c r="X18" i="10"/>
  <c r="X46" i="10" s="1"/>
  <c r="C16" i="10"/>
  <c r="C33" i="9" s="1"/>
  <c r="W18" i="10"/>
  <c r="W17" i="10"/>
  <c r="X35" i="10"/>
  <c r="C35" i="10" s="1"/>
  <c r="C10" i="10"/>
  <c r="C28" i="9" s="1"/>
  <c r="W37" i="10"/>
  <c r="X28" i="10"/>
  <c r="X29" i="10"/>
  <c r="C29" i="10" s="1"/>
  <c r="W46" i="10" l="1"/>
  <c r="W47" i="10" s="1"/>
  <c r="W48" i="10" s="1"/>
  <c r="W55" i="10" s="1"/>
  <c r="X47" i="10"/>
  <c r="C18" i="10"/>
  <c r="C34" i="9" s="1"/>
  <c r="X36" i="10"/>
  <c r="C36" i="10" s="1"/>
  <c r="C20" i="9" s="1"/>
  <c r="C19" i="9"/>
  <c r="C47" i="10" l="1"/>
  <c r="C22" i="9" s="1"/>
  <c r="C21" i="9"/>
  <c r="X37" i="10"/>
  <c r="C37" i="10" s="1"/>
  <c r="C44" i="9" l="1"/>
  <c r="C23" i="9"/>
  <c r="C45" i="9" s="1"/>
  <c r="X48" i="10"/>
  <c r="X55" i="10" s="1"/>
  <c r="C55" i="10" s="1"/>
  <c r="C62" i="10" s="1"/>
  <c r="C63" i="10" l="1"/>
  <c r="C64" i="10"/>
  <c r="C57" i="10"/>
  <c r="C56" i="10"/>
  <c r="C48" i="10"/>
  <c r="C59" i="10"/>
  <c r="E56" i="10" l="1"/>
  <c r="C47" i="9"/>
  <c r="C60" i="10"/>
</calcChain>
</file>

<file path=xl/sharedStrings.xml><?xml version="1.0" encoding="utf-8"?>
<sst xmlns="http://schemas.openxmlformats.org/spreadsheetml/2006/main" count="488" uniqueCount="271">
  <si>
    <r>
      <rPr>
        <b/>
        <sz val="16"/>
        <color theme="0"/>
        <rFont val="Calibri"/>
        <family val="2"/>
        <scheme val="minor"/>
      </rPr>
      <t>IMPORTANT NOTE</t>
    </r>
    <r>
      <rPr>
        <sz val="16"/>
        <color theme="0"/>
        <rFont val="Calibri"/>
        <family val="2"/>
        <scheme val="minor"/>
      </rPr>
      <t>: Before using this model, read the accompanying note available on the SEforALL website. This will help explain the source of all underlying assumptions used in this model.</t>
    </r>
  </si>
  <si>
    <t>HOW TO USE THIS MODEL</t>
  </si>
  <si>
    <r>
      <t xml:space="preserve">Inputs in to the model can be made in the </t>
    </r>
    <r>
      <rPr>
        <b/>
        <sz val="11"/>
        <color theme="1"/>
        <rFont val="Calibri"/>
        <family val="2"/>
        <scheme val="minor"/>
      </rPr>
      <t>Inputs</t>
    </r>
    <r>
      <rPr>
        <sz val="11"/>
        <color theme="1"/>
        <rFont val="Calibri"/>
        <family val="2"/>
        <scheme val="minor"/>
      </rPr>
      <t xml:space="preserve"> tab, the </t>
    </r>
    <r>
      <rPr>
        <b/>
        <sz val="11"/>
        <color theme="1"/>
        <rFont val="Calibri"/>
        <family val="2"/>
        <scheme val="minor"/>
      </rPr>
      <t>Kerosene Emissions</t>
    </r>
    <r>
      <rPr>
        <sz val="11"/>
        <color theme="1"/>
        <rFont val="Calibri"/>
        <family val="2"/>
        <scheme val="minor"/>
      </rPr>
      <t xml:space="preserve"> tab &amp; </t>
    </r>
    <r>
      <rPr>
        <b/>
        <sz val="11"/>
        <color theme="1"/>
        <rFont val="Calibri"/>
        <family val="2"/>
        <scheme val="minor"/>
      </rPr>
      <t>Diesel genset Emissions</t>
    </r>
    <r>
      <rPr>
        <sz val="11"/>
        <color theme="1"/>
        <rFont val="Calibri"/>
        <family val="2"/>
        <scheme val="minor"/>
      </rPr>
      <t xml:space="preserve"> tab</t>
    </r>
  </si>
  <si>
    <t>xy</t>
  </si>
  <si>
    <t xml:space="preserve"> require user to select one option from the drop-down list</t>
  </si>
  <si>
    <t>require user to enter values relevant for the mini-grid(s), if needed</t>
  </si>
  <si>
    <t>should ONLY be changed if the user has values that are more applicable to their mini-grid(s) or country(ies)</t>
  </si>
  <si>
    <r>
      <t>Any figures under the Emissions factor section in the</t>
    </r>
    <r>
      <rPr>
        <b/>
        <sz val="11"/>
        <color theme="1"/>
        <rFont val="Calibri"/>
        <family val="2"/>
        <scheme val="minor"/>
      </rPr>
      <t xml:space="preserve"> Inputs tab </t>
    </r>
    <r>
      <rPr>
        <sz val="11"/>
        <color theme="1"/>
        <rFont val="Calibri"/>
        <family val="2"/>
        <scheme val="minor"/>
      </rPr>
      <t>that are not shaded are calculated figures so should be changed either the "Kerosene emissions" or "Diesel genset emissions" tabs</t>
    </r>
  </si>
  <si>
    <r>
      <t xml:space="preserve">Emissions Calculations - </t>
    </r>
    <r>
      <rPr>
        <sz val="11"/>
        <color rgb="FF000000"/>
        <rFont val="Calibri"/>
        <family val="2"/>
      </rPr>
      <t>This is the tab where all the back-end calculations based on the input tabs are completed and feeds into the "Dashboard" tab</t>
    </r>
  </si>
  <si>
    <t>Contact rbf@seforall.org with any questions or recommended improvements</t>
  </si>
  <si>
    <t xml:space="preserve">MODEL RESULT </t>
  </si>
  <si>
    <t>Purpose</t>
  </si>
  <si>
    <t>SEforALL developed the mini-grid emissions tool to help the sector better estimate emissions avoided by taking into consideration:</t>
  </si>
  <si>
    <t>·         different previous energy sources to calculate the baseline emissions</t>
  </si>
  <si>
    <t>·         energy consumed by the mini-grid customers</t>
  </si>
  <si>
    <t>·         different mini-grid generating sources including hybrid mini-grids</t>
  </si>
  <si>
    <t xml:space="preserve">A harmonized and detailed approach to estimating the carbon emissions avoided by renewable energy mini-grids enables mini-grid developers, governments, investors, multi-lateral organizations and other sector stakeholders to better quantify the climatic benefits of mini-grids in a consistent manner and report on the sector’s contribution to climate change mitigation. </t>
  </si>
  <si>
    <t>Dashboard</t>
  </si>
  <si>
    <t>This tab summarises all the inputs and outputs of the model and can be exported to PDF as a report</t>
  </si>
  <si>
    <t>BASELINE ENERGY SOURCES &amp; EMISSIONS</t>
  </si>
  <si>
    <t>Baseline energy sources</t>
  </si>
  <si>
    <t>Energy service</t>
  </si>
  <si>
    <t>Technologies</t>
  </si>
  <si>
    <t>% using technology</t>
  </si>
  <si>
    <t xml:space="preserve">Tier 1 Households </t>
  </si>
  <si>
    <t>Lighting</t>
  </si>
  <si>
    <t>Non-lighting</t>
  </si>
  <si>
    <t>HHs with &gt;Tier 2 or businesses or prodcutive use</t>
  </si>
  <si>
    <t>All loads</t>
  </si>
  <si>
    <t>Baseline emissions</t>
  </si>
  <si>
    <t>Lighting - HHs</t>
  </si>
  <si>
    <t>tons CO2e</t>
  </si>
  <si>
    <t>Non-lighting - HHs</t>
  </si>
  <si>
    <t xml:space="preserve">Total </t>
  </si>
  <si>
    <t xml:space="preserve">Total baseline emissions </t>
  </si>
  <si>
    <t>MINI-GRID GENERATION SOURCES &amp; EMISSIONS</t>
  </si>
  <si>
    <t>Connections</t>
  </si>
  <si>
    <t>Max. # of connections   - all</t>
  </si>
  <si>
    <t>connections</t>
  </si>
  <si>
    <t>Max. # of connections - Tier 2 households</t>
  </si>
  <si>
    <t>Max. # of connections  - Tier 3 households, businesses &amp; other prod. Use</t>
  </si>
  <si>
    <t>Consumption</t>
  </si>
  <si>
    <t>Consumption - all connections over lifespan</t>
  </si>
  <si>
    <t>kWh</t>
  </si>
  <si>
    <t>Consumption - Tier 2 households over lifespan</t>
  </si>
  <si>
    <t>Tier 2 households</t>
  </si>
  <si>
    <t>Consumption - Tier 3 households, businesses &amp; other prod. use over lifespan</t>
  </si>
  <si>
    <t>Tier 3 households, businesses &amp; other prod. use</t>
  </si>
  <si>
    <t>Generating technology</t>
  </si>
  <si>
    <t>Primary Generating Technology</t>
  </si>
  <si>
    <t xml:space="preserve">Back-up Generating Technology </t>
  </si>
  <si>
    <t>Mini-grid Emissions</t>
  </si>
  <si>
    <t>Total emissions over mini-grid lifespan</t>
  </si>
  <si>
    <t>Tons CO2e</t>
  </si>
  <si>
    <t>OUTPUTS</t>
  </si>
  <si>
    <t>Total baseline emissions</t>
  </si>
  <si>
    <t>Emissions avoided over mini-grid lifespan</t>
  </si>
  <si>
    <t>Mini-grid emissions</t>
  </si>
  <si>
    <t>Average emisions avoided per annum</t>
  </si>
  <si>
    <t>Technology</t>
  </si>
  <si>
    <t>Country/region</t>
  </si>
  <si>
    <t>Previous Lighting technology</t>
  </si>
  <si>
    <t>Mini-grids</t>
  </si>
  <si>
    <t>Sub-Saharan Africa</t>
  </si>
  <si>
    <t>Solar PV</t>
  </si>
  <si>
    <t>Eastern Africa</t>
  </si>
  <si>
    <t>Kerosene lamps - general</t>
  </si>
  <si>
    <t>Diesel generator (mini-grid)</t>
  </si>
  <si>
    <t>West Africa</t>
  </si>
  <si>
    <t>Kerosene lamps - single wick lamp</t>
  </si>
  <si>
    <t>Central Africa</t>
  </si>
  <si>
    <t>Kerosene lamps - huricane lamp</t>
  </si>
  <si>
    <t>Southern Africa</t>
  </si>
  <si>
    <t>Kerosene lamps - pressure lamp</t>
  </si>
  <si>
    <t>Angola</t>
  </si>
  <si>
    <t>Candles</t>
  </si>
  <si>
    <t>Benin</t>
  </si>
  <si>
    <t>Rechargeable battery torches</t>
  </si>
  <si>
    <t>Botswana</t>
  </si>
  <si>
    <t>Burkina Faso</t>
  </si>
  <si>
    <t>Petrol generator</t>
  </si>
  <si>
    <t xml:space="preserve">Burundi </t>
  </si>
  <si>
    <t>Diesel generator (previous source)</t>
  </si>
  <si>
    <t>Cabo Verde</t>
  </si>
  <si>
    <t>Main grid</t>
  </si>
  <si>
    <t>Cameroon</t>
  </si>
  <si>
    <t>Central African Republic</t>
  </si>
  <si>
    <t>Chad</t>
  </si>
  <si>
    <t>Congo</t>
  </si>
  <si>
    <t>Comoros</t>
  </si>
  <si>
    <t>Cote d'Ivoire</t>
  </si>
  <si>
    <t>Democratic Republic of Congo (D.R.C)</t>
  </si>
  <si>
    <t>Djibouti</t>
  </si>
  <si>
    <t xml:space="preserve">Eritrea </t>
  </si>
  <si>
    <t>Ethiopia</t>
  </si>
  <si>
    <t>Gabon</t>
  </si>
  <si>
    <t xml:space="preserve">Gambia </t>
  </si>
  <si>
    <t>Ghana</t>
  </si>
  <si>
    <t>Guinea</t>
  </si>
  <si>
    <t>Guinea-Bissau</t>
  </si>
  <si>
    <t>Kenya</t>
  </si>
  <si>
    <t>Lesotho</t>
  </si>
  <si>
    <t xml:space="preserve">Liberia </t>
  </si>
  <si>
    <t>Madagascar</t>
  </si>
  <si>
    <t>Malawi</t>
  </si>
  <si>
    <t>Mali</t>
  </si>
  <si>
    <t>Mauritania</t>
  </si>
  <si>
    <t>Mauritius</t>
  </si>
  <si>
    <t>Mayotte</t>
  </si>
  <si>
    <t>Mozambique</t>
  </si>
  <si>
    <t>Namibia</t>
  </si>
  <si>
    <t>Niger</t>
  </si>
  <si>
    <t>Nigeria</t>
  </si>
  <si>
    <t xml:space="preserve">Réunion </t>
  </si>
  <si>
    <t>Rwanda</t>
  </si>
  <si>
    <t>Saint Helena</t>
  </si>
  <si>
    <t>Senegal</t>
  </si>
  <si>
    <t>Seychelles</t>
  </si>
  <si>
    <t>Sierra Leone</t>
  </si>
  <si>
    <t>Somalia</t>
  </si>
  <si>
    <t>South Africa</t>
  </si>
  <si>
    <t>South Sudan</t>
  </si>
  <si>
    <t>United Republic of Tanzania</t>
  </si>
  <si>
    <t>Togo</t>
  </si>
  <si>
    <t>Uganda</t>
  </si>
  <si>
    <t>Zambia</t>
  </si>
  <si>
    <t>Zimbabwe</t>
  </si>
  <si>
    <t>MINI-GRID INPUTS</t>
  </si>
  <si>
    <t>BASELINE ASSUMPTIONS</t>
  </si>
  <si>
    <t>Solution</t>
  </si>
  <si>
    <t>Country/Region</t>
  </si>
  <si>
    <t>Previous Energy Sources</t>
  </si>
  <si>
    <t>Households that had Tier 1 access</t>
  </si>
  <si>
    <t>Households that had &gt;Tier 2 access or businesses or productive use or public connections</t>
  </si>
  <si>
    <t>Funds disbursed to mini-grid developer or total CAPEX+OPEX</t>
  </si>
  <si>
    <t>USD</t>
  </si>
  <si>
    <t>Previous energy supply technology</t>
  </si>
  <si>
    <t>Percentage of consumers used that energy supply technology</t>
  </si>
  <si>
    <t>Number of mini-grid connections</t>
  </si>
  <si>
    <t>Lighting tech 1</t>
  </si>
  <si>
    <t>All loads tech 1</t>
  </si>
  <si>
    <t>Number of Tier 2 household connections</t>
  </si>
  <si>
    <t>Lighting tech 2</t>
  </si>
  <si>
    <t>All loads tech 2</t>
  </si>
  <si>
    <t>Number of Tier 3 or business or productive use or public connections</t>
  </si>
  <si>
    <t>Lighting tech 3</t>
  </si>
  <si>
    <t>All loads tech 3</t>
  </si>
  <si>
    <t>Percentage of Tier 2 HHs connected to MG</t>
  </si>
  <si>
    <t>Non-lighting (phone charging, appliances etc.) - tech 1</t>
  </si>
  <si>
    <t>All loads tech 4</t>
  </si>
  <si>
    <t>Percentage of connections that are Tier 3 HHs/businesses or productive use</t>
  </si>
  <si>
    <t>Non-lighting (phone charging, appliances etc.) - tech 2</t>
  </si>
  <si>
    <t>All loads tech 5</t>
  </si>
  <si>
    <t>Growth in connections per annum</t>
  </si>
  <si>
    <t>Non-lighting (phone charging, appliances etc.) - tech 3</t>
  </si>
  <si>
    <t>Baseline consumption as a % of consumption on mini-grid</t>
  </si>
  <si>
    <t>Initial average monthly consumption/consumer - all consumers</t>
  </si>
  <si>
    <t>kWh/month</t>
  </si>
  <si>
    <t>CHECK</t>
  </si>
  <si>
    <t>Maximum average monthly consumption (Plateau) - all consumers</t>
  </si>
  <si>
    <t>Initial average monthly consumption/Tier 2 household</t>
  </si>
  <si>
    <t>Previous Energy Sources Emissions Factors</t>
  </si>
  <si>
    <t>Maximum monthly consumption/Tier 2 household (plateau)</t>
  </si>
  <si>
    <t>Previous technology</t>
  </si>
  <si>
    <t>Emission factor</t>
  </si>
  <si>
    <t>Metric</t>
  </si>
  <si>
    <t>Time period to get to plateau</t>
  </si>
  <si>
    <t>years</t>
  </si>
  <si>
    <t>kg CO2e/annum/household</t>
  </si>
  <si>
    <t>See kerosene emissions tab and accompanying cover note</t>
  </si>
  <si>
    <t>Mini grid lifespan</t>
  </si>
  <si>
    <t>Kerosene lamps - hurricane lamp</t>
  </si>
  <si>
    <t>Mini-grid Generation Sources</t>
  </si>
  <si>
    <t>Percentage of total energy supplied by technology</t>
  </si>
  <si>
    <t>See accompanying cover note</t>
  </si>
  <si>
    <t>kg CO2/kWh</t>
  </si>
  <si>
    <t>Mini-grid Generation Sources Emissions Factors</t>
  </si>
  <si>
    <t>Solar PV (mini-grid)</t>
  </si>
  <si>
    <t xml:space="preserve">a in log curve </t>
  </si>
  <si>
    <t xml:space="preserve">c in log curve </t>
  </si>
  <si>
    <t>Consumption - all</t>
  </si>
  <si>
    <t>Consumption  -HHs</t>
  </si>
  <si>
    <t>Log curve</t>
  </si>
  <si>
    <t xml:space="preserve"> a*log (year)+c</t>
  </si>
  <si>
    <t>Months in a year</t>
  </si>
  <si>
    <t>Year</t>
  </si>
  <si>
    <t>Total connections</t>
  </si>
  <si>
    <t>Consumption - Mini-grid</t>
  </si>
  <si>
    <t>Average consumption/connection/month</t>
  </si>
  <si>
    <t>kWh/connection/month</t>
  </si>
  <si>
    <t>Total annual consumption - all connections</t>
  </si>
  <si>
    <t>kWh/year - All</t>
  </si>
  <si>
    <t>Estimated average consumption/household/month</t>
  </si>
  <si>
    <t>kWh/household/month</t>
  </si>
  <si>
    <t>Estimated household consumption - Tier 2 HHs</t>
  </si>
  <si>
    <t>kWh/year - HHs</t>
  </si>
  <si>
    <t>Percentage of total consumption that's Tier 2 HHs</t>
  </si>
  <si>
    <t>Estimated Tier 3  HHs/businesses/productive use consumption</t>
  </si>
  <si>
    <t>kWh/year - businesses/prod. use</t>
  </si>
  <si>
    <t>Tier 1 Households</t>
  </si>
  <si>
    <t>Weighted lighting emissions factor - previous sources</t>
  </si>
  <si>
    <t>Baseline lighting consumption per household</t>
  </si>
  <si>
    <t>kWh/annum/household</t>
  </si>
  <si>
    <t>Baseline lighting consumption all households</t>
  </si>
  <si>
    <t>kWh/annum</t>
  </si>
  <si>
    <t>Total baseline CO2e emissions  - Lighting (Households)</t>
  </si>
  <si>
    <t>tonnes CO2e</t>
  </si>
  <si>
    <t>Weighted emissions factor - non-lighting</t>
  </si>
  <si>
    <t xml:space="preserve">Baseline consumption - non-lighting loads per household </t>
  </si>
  <si>
    <t>Baseline non-lighting consumption all households</t>
  </si>
  <si>
    <t xml:space="preserve"> Total baseline CO2e emissions - Non-lighting loads (Households)</t>
  </si>
  <si>
    <t>Tonnes CO2e</t>
  </si>
  <si>
    <t>Total baseline emissions - Households</t>
  </si>
  <si>
    <t>HHs with &gt;Tier 2  access or businesses or productive use</t>
  </si>
  <si>
    <t>Weighted HHs with &gt;Tier 2  access or businesses or productive use emissions factor - previous sources</t>
  </si>
  <si>
    <t xml:space="preserve">Baseline consumption - HHs with &gt;Tier 2  access or businesses or productive use </t>
  </si>
  <si>
    <t>Total baseline CO2e emissions  - Businesses/productive use</t>
  </si>
  <si>
    <t>TOTAL BASELINE EMISSIONS</t>
  </si>
  <si>
    <t>Weighted emissions factor -mini-grid</t>
  </si>
  <si>
    <t>TOTAL MINI-GRID EMISSIONS</t>
  </si>
  <si>
    <t>TOTAL ANNUAL EMISSIONS AVOIDED OVER MINI-GRID LIFESPAN (MT CO2e)</t>
  </si>
  <si>
    <t>AVERAGE EMISSIONS AVOIDED PER ANNUM</t>
  </si>
  <si>
    <t>Average emissions per kWh of mini-grid electricity consumed</t>
  </si>
  <si>
    <t>kg/kWh</t>
  </si>
  <si>
    <t>EMISSIONS AVOIDED PER CONNECTION</t>
  </si>
  <si>
    <t>Over lifespan</t>
  </si>
  <si>
    <t>Per annum</t>
  </si>
  <si>
    <t>Tonnes CO2e/annum</t>
  </si>
  <si>
    <t>CO2 avoided per USD</t>
  </si>
  <si>
    <t>kg CO2e/USD</t>
  </si>
  <si>
    <t>Cost of each kg of CO2 avoided</t>
  </si>
  <si>
    <t>USD/Tonne CO2e</t>
  </si>
  <si>
    <t>USD/kg CO2e</t>
  </si>
  <si>
    <t>Lamp type</t>
  </si>
  <si>
    <t>Burn rate (liters/hr)</t>
  </si>
  <si>
    <t>Utilisation (hrs/day)</t>
  </si>
  <si>
    <t>Dynamic Baseline Factor</t>
  </si>
  <si>
    <t>Fuel emissions factor - Carbon Dioxide (kg CO2/liter)</t>
  </si>
  <si>
    <t>Fuel emissions factor  - Black Carbon (kg CO2equivalent/liter)</t>
  </si>
  <si>
    <t>CO2 emissions/yr</t>
  </si>
  <si>
    <t>Black Carbon CO2e emissions/yr</t>
  </si>
  <si>
    <t>Total Emissions/yr</t>
  </si>
  <si>
    <t>Kerosene-general mix of technologies &amp; emissions</t>
  </si>
  <si>
    <t>Hurricane lamp</t>
  </si>
  <si>
    <t xml:space="preserve"> Pressurised Lamps</t>
  </si>
  <si>
    <t>Pressure lamp</t>
  </si>
  <si>
    <t>Hurricane Lamps</t>
  </si>
  <si>
    <t>Single wick lamp</t>
  </si>
  <si>
    <t xml:space="preserve"> Single Wick Lamps</t>
  </si>
  <si>
    <t>Weighted Annual CO2e emissions/yr</t>
  </si>
  <si>
    <t>kg/yr</t>
  </si>
  <si>
    <t xml:space="preserve">Emissions from previous kerosene sources = Burn Rate x (Utilisation x Fuel emissions factor (CO2) x 365 (days/yr)) +  Burn Rate x (Utilisation x Fuel emissions factor (BC) x 365 (days/yr))X Dynamic Baseline Factor (change in fuel use year-on-year) </t>
  </si>
  <si>
    <t>Region/Country</t>
  </si>
  <si>
    <t>Lamp replacement ratio</t>
  </si>
  <si>
    <t>South Asia</t>
  </si>
  <si>
    <t>Rest of the World</t>
  </si>
  <si>
    <t xml:space="preserve">NOTE: </t>
  </si>
  <si>
    <t>Update the diesel generator emissions factor for the region/country if better data is available</t>
  </si>
  <si>
    <t>Household consumption - original energy services for HHs (Tier 1)</t>
  </si>
  <si>
    <t>Household consumption -  upgraded energy services (Tier 2)</t>
  </si>
  <si>
    <t>Typical load</t>
  </si>
  <si>
    <t>2 9W LED lamps run for 4 hours a day every day</t>
  </si>
  <si>
    <t>Mobile phone charging</t>
  </si>
  <si>
    <t>2 mobile phones per household,each mobile phone charge requires 0.01 kWh &amp; that each phone is charged every other day so total 182 times per annum</t>
  </si>
  <si>
    <t>Radio</t>
  </si>
  <si>
    <t>1 10W radio powered fro 6 hours a day, every day</t>
  </si>
  <si>
    <t>TV or other small appliance</t>
  </si>
  <si>
    <t>Average power sourced from verasol data of TVs procured from (mostly) SSA</t>
  </si>
  <si>
    <t>TOTAL annual consumption per household</t>
  </si>
  <si>
    <t>Average daily consumption</t>
  </si>
  <si>
    <t>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</si>
</sst>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[$-409]mmm\-yy;@"/>
    <numFmt numFmtId="167" formatCode="_-* #,##0.000000_-;\-* #,##0.000000_-;_-* &quot;-&quot;??_-;_-@_-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u/>
      <sz val="10"/>
      <color indexed="12"/>
      <name val="Verdana"/>
      <family val="2"/>
    </font>
    <font>
      <i/>
      <sz val="11"/>
      <color theme="2" tint="-9.9978637043366805E-2"/>
      <name val="Calibri"/>
      <family val="2"/>
      <scheme val="minor"/>
    </font>
    <font>
      <i/>
      <sz val="11"/>
      <color theme="2" tint="-0.249977111117893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Arial"/>
      <family val="2"/>
    </font>
    <font>
      <sz val="9"/>
      <color theme="2" tint="-0.249977111117893"/>
      <name val="Arial"/>
      <family val="2"/>
    </font>
    <font>
      <b/>
      <sz val="9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0"/>
      <name val="Arial"/>
      <family val="2"/>
    </font>
    <font>
      <i/>
      <sz val="10.5"/>
      <color theme="2" tint="-0.249977111117893"/>
      <name val="Arial"/>
      <family val="2"/>
    </font>
    <font>
      <b/>
      <sz val="10.5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rgb="FFE36C09"/>
      </patternFill>
    </fill>
    <fill>
      <patternFill patternType="solid">
        <fgColor theme="4" tint="-0.249977111117893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5"/>
        <bgColor rgb="FFFFFFFF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166" fontId="7" fillId="0" borderId="0"/>
  </cellStyleXfs>
  <cellXfs count="226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2" fillId="0" borderId="0" xfId="0" applyFont="1"/>
    <xf numFmtId="165" fontId="0" fillId="0" borderId="0" xfId="0" applyNumberFormat="1" applyBorder="1"/>
    <xf numFmtId="0" fontId="0" fillId="0" borderId="0" xfId="0" applyBorder="1"/>
    <xf numFmtId="0" fontId="2" fillId="0" borderId="0" xfId="0" applyFont="1" applyAlignment="1">
      <alignment wrapText="1"/>
    </xf>
    <xf numFmtId="9" fontId="0" fillId="0" borderId="0" xfId="2" applyFont="1"/>
    <xf numFmtId="0" fontId="0" fillId="0" borderId="13" xfId="0" applyBorder="1"/>
    <xf numFmtId="0" fontId="0" fillId="0" borderId="0" xfId="0" applyAlignment="1"/>
    <xf numFmtId="0" fontId="2" fillId="0" borderId="13" xfId="0" applyFont="1" applyBorder="1"/>
    <xf numFmtId="0" fontId="9" fillId="0" borderId="0" xfId="0" applyFont="1" applyBorder="1"/>
    <xf numFmtId="0" fontId="0" fillId="0" borderId="9" xfId="0" applyBorder="1"/>
    <xf numFmtId="0" fontId="3" fillId="5" borderId="0" xfId="0" applyFont="1" applyFill="1"/>
    <xf numFmtId="0" fontId="10" fillId="0" borderId="0" xfId="0" applyFont="1" applyBorder="1"/>
    <xf numFmtId="0" fontId="11" fillId="0" borderId="0" xfId="0" applyFont="1"/>
    <xf numFmtId="165" fontId="0" fillId="0" borderId="0" xfId="0" applyNumberFormat="1"/>
    <xf numFmtId="165" fontId="0" fillId="0" borderId="14" xfId="0" applyNumberFormat="1" applyBorder="1"/>
    <xf numFmtId="0" fontId="0" fillId="0" borderId="0" xfId="0" applyAlignment="1">
      <alignment vertical="top" wrapText="1"/>
    </xf>
    <xf numFmtId="1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4" fillId="0" borderId="13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11" fillId="0" borderId="0" xfId="0" applyFont="1" applyFill="1"/>
    <xf numFmtId="0" fontId="0" fillId="0" borderId="0" xfId="0" applyFill="1"/>
    <xf numFmtId="0" fontId="10" fillId="0" borderId="11" xfId="0" applyFont="1" applyBorder="1"/>
    <xf numFmtId="165" fontId="0" fillId="0" borderId="11" xfId="1" applyNumberFormat="1" applyFont="1" applyBorder="1"/>
    <xf numFmtId="165" fontId="0" fillId="0" borderId="11" xfId="0" applyNumberFormat="1" applyBorder="1"/>
    <xf numFmtId="164" fontId="0" fillId="0" borderId="11" xfId="0" applyNumberFormat="1" applyBorder="1"/>
    <xf numFmtId="0" fontId="0" fillId="0" borderId="0" xfId="0" applyFont="1"/>
    <xf numFmtId="0" fontId="0" fillId="0" borderId="0" xfId="0" applyFont="1" applyAlignment="1">
      <alignment horizontal="right"/>
    </xf>
    <xf numFmtId="165" fontId="0" fillId="0" borderId="11" xfId="0" applyNumberFormat="1" applyFont="1" applyBorder="1"/>
    <xf numFmtId="49" fontId="0" fillId="0" borderId="0" xfId="0" applyNumberFormat="1" applyAlignment="1">
      <alignment horizontal="right"/>
    </xf>
    <xf numFmtId="0" fontId="0" fillId="5" borderId="0" xfId="0" applyFill="1"/>
    <xf numFmtId="0" fontId="11" fillId="5" borderId="0" xfId="0" applyFont="1" applyFill="1"/>
    <xf numFmtId="0" fontId="10" fillId="0" borderId="15" xfId="0" applyFont="1" applyBorder="1"/>
    <xf numFmtId="165" fontId="0" fillId="0" borderId="15" xfId="0" applyNumberFormat="1" applyBorder="1"/>
    <xf numFmtId="165" fontId="2" fillId="0" borderId="16" xfId="0" applyNumberFormat="1" applyFont="1" applyBorder="1"/>
    <xf numFmtId="165" fontId="0" fillId="0" borderId="15" xfId="0" applyNumberFormat="1" applyFont="1" applyBorder="1"/>
    <xf numFmtId="165" fontId="0" fillId="0" borderId="17" xfId="0" applyNumberFormat="1" applyFont="1" applyBorder="1" applyAlignment="1"/>
    <xf numFmtId="164" fontId="0" fillId="0" borderId="17" xfId="0" applyNumberFormat="1" applyFont="1" applyBorder="1" applyAlignment="1"/>
    <xf numFmtId="165" fontId="2" fillId="0" borderId="9" xfId="0" applyNumberFormat="1" applyFont="1" applyBorder="1" applyAlignment="1"/>
    <xf numFmtId="164" fontId="0" fillId="3" borderId="0" xfId="0" applyNumberFormat="1" applyFill="1"/>
    <xf numFmtId="165" fontId="0" fillId="0" borderId="0" xfId="1" applyNumberFormat="1" applyFont="1" applyFill="1" applyBorder="1"/>
    <xf numFmtId="9" fontId="0" fillId="0" borderId="0" xfId="1" applyNumberFormat="1" applyFont="1"/>
    <xf numFmtId="0" fontId="0" fillId="8" borderId="0" xfId="0" applyFill="1" applyBorder="1"/>
    <xf numFmtId="0" fontId="0" fillId="8" borderId="0" xfId="0" applyFill="1"/>
    <xf numFmtId="165" fontId="2" fillId="0" borderId="17" xfId="0" applyNumberFormat="1" applyFont="1" applyBorder="1" applyAlignment="1">
      <alignment horizontal="left"/>
    </xf>
    <xf numFmtId="165" fontId="0" fillId="0" borderId="17" xfId="0" applyNumberFormat="1" applyFont="1" applyBorder="1"/>
    <xf numFmtId="0" fontId="2" fillId="0" borderId="0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0" fontId="13" fillId="7" borderId="20" xfId="0" applyFont="1" applyFill="1" applyBorder="1"/>
    <xf numFmtId="0" fontId="14" fillId="7" borderId="20" xfId="0" applyFont="1" applyFill="1" applyBorder="1"/>
    <xf numFmtId="0" fontId="2" fillId="0" borderId="22" xfId="0" applyFont="1" applyBorder="1" applyAlignment="1"/>
    <xf numFmtId="0" fontId="2" fillId="0" borderId="21" xfId="0" applyFont="1" applyBorder="1" applyAlignment="1">
      <alignment horizontal="center"/>
    </xf>
    <xf numFmtId="0" fontId="10" fillId="0" borderId="0" xfId="0" applyFont="1" applyFill="1" applyBorder="1"/>
    <xf numFmtId="0" fontId="3" fillId="8" borderId="0" xfId="0" applyFont="1" applyFill="1"/>
    <xf numFmtId="1" fontId="0" fillId="3" borderId="0" xfId="0" applyNumberFormat="1" applyFill="1"/>
    <xf numFmtId="165" fontId="15" fillId="7" borderId="12" xfId="0" applyNumberFormat="1" applyFont="1" applyFill="1" applyBorder="1"/>
    <xf numFmtId="165" fontId="15" fillId="7" borderId="19" xfId="0" applyNumberFormat="1" applyFont="1" applyFill="1" applyBorder="1"/>
    <xf numFmtId="167" fontId="0" fillId="0" borderId="0" xfId="0" applyNumberFormat="1" applyBorder="1"/>
    <xf numFmtId="0" fontId="16" fillId="0" borderId="0" xfId="0" applyFont="1"/>
    <xf numFmtId="165" fontId="0" fillId="0" borderId="0" xfId="0" applyNumberFormat="1" applyFill="1"/>
    <xf numFmtId="165" fontId="2" fillId="0" borderId="15" xfId="0" applyNumberFormat="1" applyFont="1" applyBorder="1" applyAlignment="1"/>
    <xf numFmtId="0" fontId="19" fillId="0" borderId="0" xfId="0" applyFont="1"/>
    <xf numFmtId="0" fontId="20" fillId="0" borderId="10" xfId="0" applyFont="1" applyBorder="1"/>
    <xf numFmtId="0" fontId="20" fillId="0" borderId="1" xfId="0" applyFont="1" applyBorder="1"/>
    <xf numFmtId="0" fontId="20" fillId="0" borderId="10" xfId="0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0" fillId="0" borderId="3" xfId="0" applyFont="1" applyBorder="1" applyAlignment="1">
      <alignment wrapText="1"/>
    </xf>
    <xf numFmtId="165" fontId="19" fillId="4" borderId="0" xfId="1" applyNumberFormat="1" applyFont="1" applyFill="1" applyBorder="1"/>
    <xf numFmtId="0" fontId="22" fillId="0" borderId="4" xfId="0" applyFont="1" applyBorder="1"/>
    <xf numFmtId="0" fontId="19" fillId="0" borderId="3" xfId="0" applyFont="1" applyBorder="1"/>
    <xf numFmtId="0" fontId="19" fillId="2" borderId="0" xfId="0" applyFont="1" applyFill="1" applyBorder="1"/>
    <xf numFmtId="0" fontId="21" fillId="0" borderId="0" xfId="0" applyFont="1" applyFill="1" applyAlignment="1">
      <alignment wrapText="1"/>
    </xf>
    <xf numFmtId="0" fontId="19" fillId="0" borderId="5" xfId="0" applyFont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wrapText="1"/>
    </xf>
    <xf numFmtId="0" fontId="19" fillId="0" borderId="0" xfId="0" applyFont="1" applyAlignment="1">
      <alignment vertical="top" wrapText="1"/>
    </xf>
    <xf numFmtId="0" fontId="19" fillId="0" borderId="0" xfId="0" applyFont="1" applyBorder="1"/>
    <xf numFmtId="0" fontId="22" fillId="0" borderId="6" xfId="0" applyFont="1" applyBorder="1"/>
    <xf numFmtId="0" fontId="19" fillId="4" borderId="0" xfId="2" applyNumberFormat="1" applyFont="1" applyFill="1" applyBorder="1"/>
    <xf numFmtId="0" fontId="21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wrapText="1"/>
    </xf>
    <xf numFmtId="0" fontId="24" fillId="0" borderId="0" xfId="0" applyFont="1" applyAlignment="1">
      <alignment wrapText="1"/>
    </xf>
    <xf numFmtId="2" fontId="0" fillId="0" borderId="0" xfId="0" applyNumberFormat="1" applyBorder="1"/>
    <xf numFmtId="9" fontId="19" fillId="0" borderId="0" xfId="2" applyFont="1" applyFill="1" applyBorder="1"/>
    <xf numFmtId="0" fontId="0" fillId="12" borderId="0" xfId="6" applyFont="1" applyFill="1"/>
    <xf numFmtId="0" fontId="26" fillId="12" borderId="0" xfId="6" applyFont="1" applyFill="1"/>
    <xf numFmtId="0" fontId="27" fillId="13" borderId="0" xfId="6" applyFont="1" applyFill="1"/>
    <xf numFmtId="0" fontId="28" fillId="13" borderId="0" xfId="6" applyFont="1" applyFill="1"/>
    <xf numFmtId="0" fontId="0" fillId="13" borderId="0" xfId="6" applyFont="1" applyFill="1"/>
    <xf numFmtId="0" fontId="0" fillId="14" borderId="0" xfId="6" applyFont="1" applyFill="1"/>
    <xf numFmtId="0" fontId="29" fillId="12" borderId="0" xfId="6" applyFont="1" applyFill="1"/>
    <xf numFmtId="0" fontId="30" fillId="12" borderId="0" xfId="6" applyFont="1" applyFill="1"/>
    <xf numFmtId="0" fontId="19" fillId="6" borderId="0" xfId="2" applyNumberFormat="1" applyFont="1" applyFill="1" applyBorder="1"/>
    <xf numFmtId="0" fontId="0" fillId="0" borderId="13" xfId="0" applyBorder="1" applyAlignment="1">
      <alignment wrapText="1"/>
    </xf>
    <xf numFmtId="0" fontId="26" fillId="15" borderId="0" xfId="6" applyFont="1" applyFill="1" applyAlignment="1">
      <alignment vertical="center"/>
    </xf>
    <xf numFmtId="0" fontId="0" fillId="15" borderId="0" xfId="6" applyFont="1" applyFill="1" applyAlignment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22" fillId="0" borderId="9" xfId="0" applyFont="1" applyBorder="1"/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22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21" fillId="5" borderId="0" xfId="0" applyFont="1" applyFill="1" applyAlignment="1">
      <alignment wrapText="1"/>
    </xf>
    <xf numFmtId="0" fontId="20" fillId="0" borderId="0" xfId="0" applyFont="1" applyBorder="1" applyAlignment="1">
      <alignment wrapText="1"/>
    </xf>
    <xf numFmtId="2" fontId="19" fillId="0" borderId="0" xfId="2" applyNumberFormat="1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16" fillId="3" borderId="0" xfId="0" applyFont="1" applyFill="1" applyAlignment="1">
      <alignment wrapText="1"/>
    </xf>
    <xf numFmtId="0" fontId="18" fillId="3" borderId="0" xfId="0" applyFont="1" applyFill="1" applyAlignment="1">
      <alignment wrapText="1"/>
    </xf>
    <xf numFmtId="0" fontId="26" fillId="0" borderId="0" xfId="6" applyFont="1" applyFill="1"/>
    <xf numFmtId="0" fontId="30" fillId="0" borderId="0" xfId="6" applyFont="1" applyFill="1"/>
    <xf numFmtId="0" fontId="0" fillId="0" borderId="0" xfId="6" applyFont="1" applyFill="1"/>
    <xf numFmtId="0" fontId="30" fillId="0" borderId="0" xfId="6" applyFont="1" applyFill="1" applyAlignment="1">
      <alignment horizontal="left"/>
    </xf>
    <xf numFmtId="0" fontId="0" fillId="0" borderId="0" xfId="6" applyFont="1" applyFill="1" applyAlignment="1">
      <alignment vertical="center"/>
    </xf>
    <xf numFmtId="0" fontId="29" fillId="0" borderId="0" xfId="6" applyFont="1" applyFill="1"/>
    <xf numFmtId="0" fontId="16" fillId="9" borderId="0" xfId="0" applyFont="1" applyFill="1" applyAlignment="1">
      <alignment wrapText="1"/>
    </xf>
    <xf numFmtId="0" fontId="18" fillId="0" borderId="0" xfId="0" applyFont="1" applyFill="1" applyAlignment="1">
      <alignment wrapText="1"/>
    </xf>
    <xf numFmtId="0" fontId="16" fillId="0" borderId="0" xfId="0" applyFont="1" applyFill="1" applyAlignment="1">
      <alignment wrapText="1"/>
    </xf>
    <xf numFmtId="0" fontId="18" fillId="0" borderId="0" xfId="0" applyFont="1" applyAlignment="1">
      <alignment wrapText="1"/>
    </xf>
    <xf numFmtId="0" fontId="16" fillId="0" borderId="13" xfId="0" applyFont="1" applyFill="1" applyBorder="1" applyAlignment="1">
      <alignment wrapText="1"/>
    </xf>
    <xf numFmtId="9" fontId="16" fillId="0" borderId="13" xfId="2" applyFont="1" applyFill="1" applyBorder="1" applyAlignment="1">
      <alignment horizontal="right" wrapText="1"/>
    </xf>
    <xf numFmtId="0" fontId="16" fillId="0" borderId="0" xfId="0" applyFont="1" applyFill="1" applyBorder="1" applyAlignment="1">
      <alignment wrapText="1"/>
    </xf>
    <xf numFmtId="0" fontId="16" fillId="0" borderId="26" xfId="0" applyFont="1" applyFill="1" applyBorder="1" applyAlignment="1">
      <alignment wrapText="1"/>
    </xf>
    <xf numFmtId="9" fontId="17" fillId="0" borderId="0" xfId="0" applyNumberFormat="1" applyFont="1" applyFill="1" applyBorder="1" applyAlignment="1">
      <alignment wrapText="1"/>
    </xf>
    <xf numFmtId="0" fontId="16" fillId="0" borderId="13" xfId="0" applyFont="1" applyFill="1" applyBorder="1" applyAlignment="1">
      <alignment horizontal="right" wrapText="1"/>
    </xf>
    <xf numFmtId="165" fontId="16" fillId="0" borderId="13" xfId="1" applyNumberFormat="1" applyFont="1" applyFill="1" applyBorder="1" applyAlignment="1">
      <alignment wrapText="1"/>
    </xf>
    <xf numFmtId="0" fontId="17" fillId="0" borderId="13" xfId="0" applyFont="1" applyFill="1" applyBorder="1" applyAlignment="1">
      <alignment wrapText="1"/>
    </xf>
    <xf numFmtId="165" fontId="18" fillId="0" borderId="13" xfId="1" applyNumberFormat="1" applyFont="1" applyFill="1" applyBorder="1" applyAlignment="1">
      <alignment wrapText="1"/>
    </xf>
    <xf numFmtId="165" fontId="16" fillId="0" borderId="0" xfId="1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165" fontId="16" fillId="10" borderId="13" xfId="1" applyNumberFormat="1" applyFont="1" applyFill="1" applyBorder="1" applyAlignment="1">
      <alignment wrapText="1"/>
    </xf>
    <xf numFmtId="0" fontId="17" fillId="0" borderId="13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165" fontId="18" fillId="11" borderId="13" xfId="1" applyNumberFormat="1" applyFont="1" applyFill="1" applyBorder="1" applyAlignment="1">
      <alignment wrapText="1"/>
    </xf>
    <xf numFmtId="0" fontId="17" fillId="0" borderId="8" xfId="0" applyFont="1" applyBorder="1" applyAlignment="1">
      <alignment wrapText="1"/>
    </xf>
    <xf numFmtId="0" fontId="16" fillId="0" borderId="0" xfId="0" applyFont="1" applyBorder="1" applyAlignment="1">
      <alignment wrapText="1"/>
    </xf>
    <xf numFmtId="165" fontId="19" fillId="4" borderId="10" xfId="1" applyNumberFormat="1" applyFont="1" applyFill="1" applyBorder="1" applyProtection="1">
      <protection locked="0"/>
    </xf>
    <xf numFmtId="165" fontId="19" fillId="4" borderId="0" xfId="1" applyNumberFormat="1" applyFont="1" applyFill="1" applyBorder="1" applyProtection="1">
      <protection locked="0"/>
    </xf>
    <xf numFmtId="9" fontId="19" fillId="4" borderId="0" xfId="2" applyFont="1" applyFill="1" applyBorder="1" applyProtection="1">
      <protection locked="0"/>
    </xf>
    <xf numFmtId="0" fontId="19" fillId="6" borderId="0" xfId="2" applyNumberFormat="1" applyFont="1" applyFill="1" applyBorder="1" applyProtection="1">
      <protection locked="0"/>
    </xf>
    <xf numFmtId="0" fontId="19" fillId="4" borderId="9" xfId="0" applyFont="1" applyFill="1" applyBorder="1" applyProtection="1">
      <protection locked="0"/>
    </xf>
    <xf numFmtId="0" fontId="19" fillId="2" borderId="0" xfId="0" applyFont="1" applyFill="1" applyBorder="1" applyProtection="1">
      <protection locked="0"/>
    </xf>
    <xf numFmtId="9" fontId="19" fillId="4" borderId="4" xfId="2" applyFont="1" applyFill="1" applyBorder="1" applyProtection="1">
      <protection locked="0"/>
    </xf>
    <xf numFmtId="9" fontId="19" fillId="4" borderId="6" xfId="2" applyFont="1" applyFill="1" applyBorder="1" applyProtection="1">
      <protection locked="0"/>
    </xf>
    <xf numFmtId="0" fontId="19" fillId="2" borderId="9" xfId="0" applyFont="1" applyFill="1" applyBorder="1" applyAlignment="1" applyProtection="1">
      <alignment wrapText="1"/>
      <protection locked="0"/>
    </xf>
    <xf numFmtId="0" fontId="19" fillId="2" borderId="9" xfId="0" applyFont="1" applyFill="1" applyBorder="1" applyAlignment="1" applyProtection="1">
      <protection locked="0"/>
    </xf>
    <xf numFmtId="0" fontId="19" fillId="6" borderId="4" xfId="2" applyNumberFormat="1" applyFont="1" applyFill="1" applyBorder="1" applyProtection="1">
      <protection locked="0"/>
    </xf>
    <xf numFmtId="0" fontId="19" fillId="6" borderId="6" xfId="2" applyNumberFormat="1" applyFont="1" applyFill="1" applyBorder="1" applyProtection="1">
      <protection locked="0"/>
    </xf>
    <xf numFmtId="0" fontId="19" fillId="2" borderId="0" xfId="0" applyFont="1" applyFill="1" applyAlignment="1" applyProtection="1">
      <alignment wrapText="1"/>
      <protection locked="0"/>
    </xf>
    <xf numFmtId="9" fontId="19" fillId="4" borderId="4" xfId="2" applyFont="1" applyFill="1" applyBorder="1" applyAlignment="1" applyProtection="1">
      <alignment wrapText="1"/>
      <protection locked="0"/>
    </xf>
    <xf numFmtId="9" fontId="19" fillId="4" borderId="6" xfId="2" applyFont="1" applyFill="1" applyBorder="1" applyAlignment="1" applyProtection="1">
      <alignment wrapText="1"/>
      <protection locked="0"/>
    </xf>
    <xf numFmtId="0" fontId="19" fillId="0" borderId="0" xfId="0" applyFont="1" applyAlignment="1" applyProtection="1">
      <alignment wrapText="1"/>
    </xf>
    <xf numFmtId="0" fontId="16" fillId="0" borderId="0" xfId="0" applyFont="1" applyAlignment="1" applyProtection="1">
      <alignment wrapText="1"/>
    </xf>
    <xf numFmtId="0" fontId="21" fillId="0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19" fillId="2" borderId="0" xfId="0" applyFont="1" applyFill="1" applyBorder="1" applyAlignment="1" applyProtection="1">
      <alignment wrapText="1"/>
      <protection locked="0"/>
    </xf>
    <xf numFmtId="9" fontId="19" fillId="6" borderId="7" xfId="2" applyFont="1" applyFill="1" applyBorder="1" applyAlignment="1" applyProtection="1">
      <alignment wrapText="1"/>
      <protection locked="0"/>
    </xf>
    <xf numFmtId="0" fontId="19" fillId="4" borderId="0" xfId="2" applyNumberFormat="1" applyFont="1" applyFill="1" applyBorder="1" applyAlignment="1" applyProtection="1">
      <alignment wrapText="1"/>
      <protection locked="0"/>
    </xf>
    <xf numFmtId="0" fontId="19" fillId="6" borderId="0" xfId="2" applyNumberFormat="1" applyFont="1" applyFill="1" applyBorder="1" applyAlignment="1" applyProtection="1">
      <alignment wrapText="1"/>
      <protection locked="0"/>
    </xf>
    <xf numFmtId="0" fontId="19" fillId="4" borderId="9" xfId="2" applyNumberFormat="1" applyFont="1" applyFill="1" applyBorder="1" applyProtection="1">
      <protection locked="0"/>
    </xf>
    <xf numFmtId="0" fontId="2" fillId="16" borderId="0" xfId="0" applyFont="1" applyFill="1"/>
    <xf numFmtId="2" fontId="0" fillId="0" borderId="0" xfId="0" applyNumberFormat="1"/>
    <xf numFmtId="0" fontId="0" fillId="0" borderId="0" xfId="0" applyProtection="1">
      <protection locked="0"/>
    </xf>
    <xf numFmtId="0" fontId="21" fillId="5" borderId="0" xfId="0" applyFont="1" applyFill="1" applyAlignment="1" applyProtection="1">
      <alignment horizontal="center" wrapText="1"/>
      <protection locked="0"/>
    </xf>
    <xf numFmtId="0" fontId="19" fillId="0" borderId="2" xfId="0" applyFont="1" applyBorder="1" applyProtection="1"/>
    <xf numFmtId="0" fontId="22" fillId="0" borderId="4" xfId="0" applyFont="1" applyBorder="1" applyProtection="1"/>
    <xf numFmtId="0" fontId="0" fillId="0" borderId="4" xfId="0" applyBorder="1" applyProtection="1"/>
    <xf numFmtId="0" fontId="19" fillId="0" borderId="4" xfId="0" applyFont="1" applyBorder="1" applyProtection="1"/>
    <xf numFmtId="0" fontId="22" fillId="0" borderId="4" xfId="0" applyFont="1" applyFill="1" applyBorder="1" applyProtection="1"/>
    <xf numFmtId="0" fontId="22" fillId="0" borderId="6" xfId="0" applyFont="1" applyBorder="1" applyProtection="1"/>
    <xf numFmtId="0" fontId="20" fillId="0" borderId="0" xfId="0" applyFont="1" applyProtection="1"/>
    <xf numFmtId="0" fontId="19" fillId="0" borderId="0" xfId="0" applyFont="1" applyProtection="1"/>
    <xf numFmtId="0" fontId="20" fillId="0" borderId="10" xfId="0" applyFont="1" applyBorder="1" applyAlignment="1" applyProtection="1">
      <alignment wrapText="1"/>
    </xf>
    <xf numFmtId="0" fontId="20" fillId="0" borderId="3" xfId="0" applyFont="1" applyBorder="1" applyAlignment="1" applyProtection="1">
      <alignment wrapText="1"/>
    </xf>
    <xf numFmtId="0" fontId="20" fillId="0" borderId="0" xfId="0" applyFont="1" applyFill="1" applyBorder="1" applyProtection="1"/>
    <xf numFmtId="0" fontId="20" fillId="0" borderId="0" xfId="0" applyFont="1" applyFill="1" applyBorder="1" applyAlignment="1" applyProtection="1">
      <alignment wrapText="1"/>
    </xf>
    <xf numFmtId="0" fontId="20" fillId="0" borderId="3" xfId="0" applyFont="1" applyFill="1" applyBorder="1" applyAlignment="1" applyProtection="1">
      <alignment wrapText="1"/>
    </xf>
    <xf numFmtId="0" fontId="20" fillId="0" borderId="5" xfId="0" applyFont="1" applyBorder="1" applyAlignment="1" applyProtection="1">
      <alignment wrapText="1"/>
    </xf>
    <xf numFmtId="0" fontId="19" fillId="2" borderId="0" xfId="0" applyFont="1" applyFill="1" applyProtection="1">
      <protection locked="0"/>
    </xf>
    <xf numFmtId="9" fontId="19" fillId="6" borderId="13" xfId="2" applyFont="1" applyFill="1" applyBorder="1" applyProtection="1">
      <protection locked="0"/>
    </xf>
    <xf numFmtId="0" fontId="31" fillId="17" borderId="0" xfId="6" applyFont="1" applyFill="1" applyAlignment="1">
      <alignment horizontal="left"/>
    </xf>
    <xf numFmtId="0" fontId="18" fillId="0" borderId="23" xfId="0" applyFont="1" applyFill="1" applyBorder="1" applyAlignment="1">
      <alignment horizontal="center" wrapText="1"/>
    </xf>
    <xf numFmtId="0" fontId="18" fillId="0" borderId="24" xfId="0" applyFont="1" applyFill="1" applyBorder="1" applyAlignment="1">
      <alignment horizontal="center" wrapText="1"/>
    </xf>
    <xf numFmtId="0" fontId="18" fillId="0" borderId="25" xfId="0" applyFont="1" applyFill="1" applyBorder="1" applyAlignment="1">
      <alignment horizontal="center" wrapText="1"/>
    </xf>
    <xf numFmtId="0" fontId="18" fillId="0" borderId="34" xfId="0" applyFont="1" applyFill="1" applyBorder="1" applyAlignment="1">
      <alignment horizontal="center" wrapText="1"/>
    </xf>
    <xf numFmtId="0" fontId="18" fillId="0" borderId="35" xfId="0" applyFont="1" applyFill="1" applyBorder="1" applyAlignment="1">
      <alignment horizontal="center" wrapText="1"/>
    </xf>
    <xf numFmtId="9" fontId="16" fillId="0" borderId="8" xfId="0" applyNumberFormat="1" applyFont="1" applyFill="1" applyBorder="1" applyAlignment="1">
      <alignment horizontal="center" wrapText="1"/>
    </xf>
    <xf numFmtId="9" fontId="16" fillId="0" borderId="7" xfId="0" applyNumberFormat="1" applyFont="1" applyFill="1" applyBorder="1" applyAlignment="1">
      <alignment horizontal="center" wrapText="1"/>
    </xf>
    <xf numFmtId="0" fontId="19" fillId="0" borderId="0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21" fillId="5" borderId="1" xfId="0" applyFont="1" applyFill="1" applyBorder="1" applyAlignment="1">
      <alignment horizontal="center" wrapText="1"/>
    </xf>
    <xf numFmtId="0" fontId="21" fillId="5" borderId="10" xfId="0" applyFont="1" applyFill="1" applyBorder="1" applyAlignment="1">
      <alignment horizontal="center" wrapText="1"/>
    </xf>
    <xf numFmtId="0" fontId="21" fillId="5" borderId="2" xfId="0" applyFont="1" applyFill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1" fillId="5" borderId="0" xfId="0" applyFont="1" applyFill="1" applyAlignment="1">
      <alignment horizontal="center" wrapText="1"/>
    </xf>
    <xf numFmtId="0" fontId="21" fillId="5" borderId="9" xfId="0" applyFont="1" applyFill="1" applyBorder="1" applyAlignment="1">
      <alignment horizontal="center" wrapText="1"/>
    </xf>
    <xf numFmtId="0" fontId="20" fillId="0" borderId="13" xfId="0" applyFont="1" applyFill="1" applyBorder="1" applyAlignment="1">
      <alignment horizontal="left" wrapText="1"/>
    </xf>
    <xf numFmtId="0" fontId="20" fillId="0" borderId="8" xfId="0" applyFont="1" applyFill="1" applyBorder="1" applyAlignment="1">
      <alignment horizontal="left" wrapText="1"/>
    </xf>
    <xf numFmtId="0" fontId="19" fillId="0" borderId="0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0" fillId="0" borderId="13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33" xfId="0" applyBorder="1" applyAlignment="1">
      <alignment horizontal="left" wrapText="1"/>
    </xf>
  </cellXfs>
  <cellStyles count="14">
    <cellStyle name="Comma" xfId="1" builtinId="3"/>
    <cellStyle name="Comma 2" xfId="4" xr:uid="{695AA914-70D5-40C0-9052-467176B2A717}"/>
    <cellStyle name="Hyperlink 2" xfId="5" xr:uid="{F6E43C6D-6692-4853-9E33-432E67404CDA}"/>
    <cellStyle name="Normal" xfId="0" builtinId="0"/>
    <cellStyle name="Normal 10 3" xfId="9" xr:uid="{84D3A7AF-C94B-4894-8E6B-375CFCD95B24}"/>
    <cellStyle name="Normal 128" xfId="11" xr:uid="{B6F6217F-A1C4-42A0-A4AD-A29DABBBCDE3}"/>
    <cellStyle name="Normal 153" xfId="8" xr:uid="{5E09C234-720F-4F05-8546-F7EF952AE622}"/>
    <cellStyle name="Normal 2" xfId="6" xr:uid="{A5328803-4599-4A7C-A798-028A21555833}"/>
    <cellStyle name="Normal 2 2 2 3" xfId="12" xr:uid="{753DE677-B595-4A15-BB28-424F8850C493}"/>
    <cellStyle name="Normal 3" xfId="10" xr:uid="{9D01DE76-6E09-4114-9AB5-CDF92656615F}"/>
    <cellStyle name="Normal 4" xfId="3" xr:uid="{BFD1C574-4B1A-42DD-BFC9-7EC934CF7ED7}"/>
    <cellStyle name="Normal 8" xfId="13" xr:uid="{1739BADE-0846-4873-A4BF-B79D6FE3624D}"/>
    <cellStyle name="Percent" xfId="2" builtinId="5"/>
    <cellStyle name="Percent 2" xfId="7" xr:uid="{98F942B2-D721-4814-A295-2867323744A7}"/>
  </cellStyles>
  <dxfs count="8">
    <dxf>
      <font>
        <color theme="9" tint="-0.2499465926084170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9" tint="-0.2499465926084170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9" tint="-0.2499465926084170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9" tint="-0.2499465926084170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5941215296838"/>
          <c:y val="6.9522022410490394E-2"/>
          <c:w val="0.8359466702840832"/>
          <c:h val="0.61128039780047649"/>
        </c:manualLayout>
      </c:layout>
      <c:lineChart>
        <c:grouping val="standard"/>
        <c:varyColors val="0"/>
        <c:ser>
          <c:idx val="0"/>
          <c:order val="0"/>
          <c:tx>
            <c:v>Total Baseline Emissions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'Emissions calculations'!$E$48:$X$48</c:f>
              <c:numCache>
                <c:formatCode>_-* #,##0_-;\-* #,##0_-;_-* "-"??_-;_-@_-</c:formatCode>
                <c:ptCount val="20"/>
                <c:pt idx="0">
                  <c:v>735.96600000000012</c:v>
                </c:pt>
                <c:pt idx="1">
                  <c:v>1052.9293037390428</c:v>
                </c:pt>
                <c:pt idx="2">
                  <c:v>1238.3409505310728</c:v>
                </c:pt>
                <c:pt idx="3">
                  <c:v>1369.8926074780857</c:v>
                </c:pt>
                <c:pt idx="4">
                  <c:v>1471.9320000000002</c:v>
                </c:pt>
                <c:pt idx="5">
                  <c:v>1471.9320000000002</c:v>
                </c:pt>
                <c:pt idx="6">
                  <c:v>1471.9320000000002</c:v>
                </c:pt>
                <c:pt idx="7">
                  <c:v>1471.9320000000002</c:v>
                </c:pt>
                <c:pt idx="8">
                  <c:v>1471.9320000000002</c:v>
                </c:pt>
                <c:pt idx="9">
                  <c:v>1471.9320000000002</c:v>
                </c:pt>
                <c:pt idx="10">
                  <c:v>1471.9320000000002</c:v>
                </c:pt>
                <c:pt idx="11">
                  <c:v>1471.9320000000002</c:v>
                </c:pt>
                <c:pt idx="12">
                  <c:v>1471.9320000000002</c:v>
                </c:pt>
                <c:pt idx="13">
                  <c:v>1471.9320000000002</c:v>
                </c:pt>
                <c:pt idx="14">
                  <c:v>1471.9320000000002</c:v>
                </c:pt>
                <c:pt idx="15">
                  <c:v>1471.9320000000002</c:v>
                </c:pt>
                <c:pt idx="16">
                  <c:v>1471.9320000000002</c:v>
                </c:pt>
                <c:pt idx="17">
                  <c:v>1471.9320000000002</c:v>
                </c:pt>
                <c:pt idx="18">
                  <c:v>1471.9320000000002</c:v>
                </c:pt>
                <c:pt idx="19">
                  <c:v>1471.9320000000002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57-496C-A79D-304B9AC8D509}"/>
            </c:ext>
          </c:extLst>
        </c:ser>
        <c:ser>
          <c:idx val="1"/>
          <c:order val="1"/>
          <c:tx>
            <c:v>Total Mini-grid Emissions</c:v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'Emissions calculations'!$E$53:$X$53</c:f>
              <c:numCache>
                <c:formatCode>_-* #,##0_-;\-* #,##0_-;_-* "-"??_-;_-@_-</c:formatCode>
                <c:ptCount val="20"/>
                <c:pt idx="0">
                  <c:v>384.00000000000006</c:v>
                </c:pt>
                <c:pt idx="1">
                  <c:v>549.37979830018298</c:v>
                </c:pt>
                <c:pt idx="2">
                  <c:v>646.12077868261849</c:v>
                </c:pt>
                <c:pt idx="3">
                  <c:v>714.75959660036608</c:v>
                </c:pt>
                <c:pt idx="4">
                  <c:v>768.00000000000011</c:v>
                </c:pt>
                <c:pt idx="5">
                  <c:v>768.00000000000011</c:v>
                </c:pt>
                <c:pt idx="6">
                  <c:v>768.00000000000011</c:v>
                </c:pt>
                <c:pt idx="7">
                  <c:v>768.00000000000011</c:v>
                </c:pt>
                <c:pt idx="8">
                  <c:v>768.00000000000011</c:v>
                </c:pt>
                <c:pt idx="9">
                  <c:v>768.00000000000011</c:v>
                </c:pt>
                <c:pt idx="10">
                  <c:v>768.00000000000011</c:v>
                </c:pt>
                <c:pt idx="11">
                  <c:v>768.00000000000011</c:v>
                </c:pt>
                <c:pt idx="12">
                  <c:v>768.00000000000011</c:v>
                </c:pt>
                <c:pt idx="13">
                  <c:v>768.00000000000011</c:v>
                </c:pt>
                <c:pt idx="14">
                  <c:v>768.00000000000011</c:v>
                </c:pt>
                <c:pt idx="15">
                  <c:v>768.00000000000011</c:v>
                </c:pt>
                <c:pt idx="16">
                  <c:v>768.00000000000011</c:v>
                </c:pt>
                <c:pt idx="17">
                  <c:v>768.00000000000011</c:v>
                </c:pt>
                <c:pt idx="18">
                  <c:v>768.00000000000011</c:v>
                </c:pt>
                <c:pt idx="19">
                  <c:v>768.00000000000011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57-496C-A79D-304B9AC8D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1655216"/>
        <c:axId val="837461536"/>
      </c:lineChart>
      <c:catAx>
        <c:axId val="941655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000" b="1"/>
                  <a:t>Year of mini-grid operation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37461536"/>
        <c:crosses val="autoZero"/>
        <c:auto val="1"/>
        <c:lblAlgn val="ctr"/>
        <c:lblOffset val="100"/>
        <c:noMultiLvlLbl val="0"/>
      </c:catAx>
      <c:valAx>
        <c:axId val="83746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000" b="1"/>
                  <a:t> Metric Tons CO2e/annum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4165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4364082967345165E-2"/>
          <c:y val="0.86298410521519331"/>
          <c:w val="0.88098393526693364"/>
          <c:h val="5.5332918734096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="1"/>
              <a:t>Annual Baseline Emissions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739520202020203"/>
          <c:y val="0.11417588525456307"/>
          <c:w val="0.836123556998557"/>
          <c:h val="0.49589913624097726"/>
        </c:manualLayout>
      </c:layout>
      <c:areaChart>
        <c:grouping val="stacked"/>
        <c:varyColors val="0"/>
        <c:ser>
          <c:idx val="1"/>
          <c:order val="0"/>
          <c:tx>
            <c:strRef>
              <c:f>'Emissions calculations'!$A$29</c:f>
              <c:strCache>
                <c:ptCount val="1"/>
                <c:pt idx="0">
                  <c:v>Total baseline CO2e emissions  - Lighting (Households)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cat>
            <c:numRef>
              <c:f>'Emissions calculations'!$E$7:$X$7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'Emissions calculations'!$E$29:$X$29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A-4C45-A1AD-709B88FC83ED}"/>
            </c:ext>
          </c:extLst>
        </c:ser>
        <c:ser>
          <c:idx val="0"/>
          <c:order val="1"/>
          <c:tx>
            <c:strRef>
              <c:f>'Emissions calculations'!$A$36</c:f>
              <c:strCache>
                <c:ptCount val="1"/>
                <c:pt idx="0">
                  <c:v> Total baseline CO2e emissions - Non-lighting loads (Households)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'Emissions calculations'!$E$36:$X$36</c:f>
              <c:numCache>
                <c:formatCode>_-* #,##0.00_-;\-* #,##0.00_-;_-*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A-4C45-A1AD-709B88FC83ED}"/>
            </c:ext>
          </c:extLst>
        </c:ser>
        <c:ser>
          <c:idx val="2"/>
          <c:order val="2"/>
          <c:tx>
            <c:strRef>
              <c:f>'Emissions calculations'!$A$47</c:f>
              <c:strCache>
                <c:ptCount val="1"/>
                <c:pt idx="0">
                  <c:v>Total baseline CO2e emissions  - Businesses/productive use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val>
            <c:numRef>
              <c:f>'Emissions calculations'!$E$47:$X$47</c:f>
              <c:numCache>
                <c:formatCode>_-* #,##0_-;\-* #,##0_-;_-* "-"??_-;_-@_-</c:formatCode>
                <c:ptCount val="20"/>
                <c:pt idx="0">
                  <c:v>735.96600000000012</c:v>
                </c:pt>
                <c:pt idx="1">
                  <c:v>1052.9293037390428</c:v>
                </c:pt>
                <c:pt idx="2">
                  <c:v>1238.3409505310728</c:v>
                </c:pt>
                <c:pt idx="3">
                  <c:v>1369.8926074780857</c:v>
                </c:pt>
                <c:pt idx="4">
                  <c:v>1471.9320000000002</c:v>
                </c:pt>
                <c:pt idx="5">
                  <c:v>1471.9320000000002</c:v>
                </c:pt>
                <c:pt idx="6">
                  <c:v>1471.9320000000002</c:v>
                </c:pt>
                <c:pt idx="7">
                  <c:v>1471.9320000000002</c:v>
                </c:pt>
                <c:pt idx="8">
                  <c:v>1471.9320000000002</c:v>
                </c:pt>
                <c:pt idx="9">
                  <c:v>1471.9320000000002</c:v>
                </c:pt>
                <c:pt idx="10">
                  <c:v>1471.9320000000002</c:v>
                </c:pt>
                <c:pt idx="11">
                  <c:v>1471.9320000000002</c:v>
                </c:pt>
                <c:pt idx="12">
                  <c:v>1471.9320000000002</c:v>
                </c:pt>
                <c:pt idx="13">
                  <c:v>1471.9320000000002</c:v>
                </c:pt>
                <c:pt idx="14">
                  <c:v>1471.9320000000002</c:v>
                </c:pt>
                <c:pt idx="15">
                  <c:v>1471.9320000000002</c:v>
                </c:pt>
                <c:pt idx="16">
                  <c:v>1471.9320000000002</c:v>
                </c:pt>
                <c:pt idx="17">
                  <c:v>1471.9320000000002</c:v>
                </c:pt>
                <c:pt idx="18">
                  <c:v>1471.9320000000002</c:v>
                </c:pt>
                <c:pt idx="19">
                  <c:v>1471.9320000000002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8A-4C45-A1AD-709B88FC8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989584"/>
        <c:axId val="422849056"/>
      </c:areaChart>
      <c:catAx>
        <c:axId val="522989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Year of mini-grid operation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2849056"/>
        <c:crosses val="autoZero"/>
        <c:auto val="1"/>
        <c:lblAlgn val="ctr"/>
        <c:lblOffset val="100"/>
        <c:noMultiLvlLbl val="0"/>
      </c:catAx>
      <c:valAx>
        <c:axId val="42284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b="1"/>
                  <a:t>Metric Tons CO2e/annum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2989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6323943222062152"/>
          <c:w val="0.98106927048842174"/>
          <c:h val="0.203031744914654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Baseline emissions based on previous access tier and customer 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404926140430797"/>
          <c:y val="0.10382610827580173"/>
          <c:w val="0.61775753237456887"/>
          <c:h val="0.82241510604326629"/>
        </c:manualLayout>
      </c:layout>
      <c:pieChart>
        <c:varyColors val="1"/>
        <c:ser>
          <c:idx val="0"/>
          <c:order val="0"/>
          <c:tx>
            <c:strRef>
              <c:f>Dashboard!$A$18</c:f>
              <c:strCache>
                <c:ptCount val="1"/>
                <c:pt idx="0">
                  <c:v>Baseline emissions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7-57FB-4C0E-8801-B148AB22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FA-4C2C-B474-ACEF04242947}"/>
              </c:ext>
            </c:extLst>
          </c:dPt>
          <c:dLbls>
            <c:dLbl>
              <c:idx val="0"/>
              <c:showLegendKey val="0"/>
              <c:showVal val="0"/>
              <c:showCatName val="0"/>
              <c:showSerName val="0"/>
              <c:showPercent val="1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FB-4C0E-8801-B148AB2293E1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FA-4C2C-B474-ACEF042429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(Dashboard!$A$19,Dashboard!$A$22)</c:f>
              <c:strCache>
                <c:ptCount val="2"/>
                <c:pt idx="0">
                  <c:v>Tier 1 Households </c:v>
                </c:pt>
                <c:pt idx="1">
                  <c:v>HHs with &gt;Tier 2 or businesses or prodcutive use</c:v>
                </c:pt>
              </c:strCache>
            </c:strRef>
          </c:cat>
          <c:val>
            <c:numRef>
              <c:f>(Dashboard!$C$21,Dashboard!$C$22)</c:f>
              <c:numCache>
                <c:formatCode>_-* #,##0_-;\-* #,##0_-;_-* "-"??_-;_-@_-</c:formatCode>
                <c:ptCount val="2"/>
                <c:pt idx="0">
                  <c:v>0</c:v>
                </c:pt>
                <c:pt idx="1">
                  <c:v>27948.04086174821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57FB-4C0E-8801-B148AB229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r>
              <a:rPr lang="en-GB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Total Emissions (Baseline, Avoided and from Mini-Grids)</a:t>
            </a:r>
            <a:endParaRPr lang="en-US" sz="14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rich>
      </cx:tx>
    </cx:title>
    <cx:plotArea>
      <cx:plotAreaRegion>
        <cx:series layoutId="waterfall" uniqueId="{00000000-65EC-40BC-BE12-2E88497C40BC}">
          <cx:tx>
            <cx:txData>
              <cx:v> 33,146   28,095   5,052 </cx:v>
            </cx:txData>
          </cx:tx>
          <cx:dataPt idx="1">
            <cx:spPr>
              <a:solidFill>
                <a:srgbClr val="70AD47"/>
              </a:solidFill>
            </cx:spPr>
          </cx:dataPt>
          <cx:dataPt idx="2">
            <cx:spPr>
              <a:solidFill>
                <a:srgbClr val="FFC000">
                  <a:lumMod val="60000"/>
                  <a:lumOff val="40000"/>
                </a:srgbClr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00" b="1"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 sz="10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</cx:dataLabels>
          <cx:dataId val="0"/>
          <cx:layoutPr>
            <cx:subtotals/>
          </cx:layoutPr>
        </cx:series>
      </cx:plotAreaRegion>
      <cx:axis id="0">
        <cx:catScaling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00" b="1" baseline="0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US" sz="10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>
        <cx:valScaling/>
        <cx:title>
          <cx:tx>
            <cx:txData>
              <cx:v>Metric Tons CO2e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000" b="1">
                  <a:latin typeface="Arial" panose="020B0604020202020204" pitchFamily="34" charset="0"/>
                  <a:ea typeface="Arial" panose="020B0604020202020204" pitchFamily="34" charset="0"/>
                  <a:cs typeface="Arial" panose="020B0604020202020204" pitchFamily="34" charset="0"/>
                </a:defRPr>
              </a:pPr>
              <a:r>
                <a:rPr lang="en-US" sz="10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Metric Tons CO2e</a:t>
              </a:r>
            </a:p>
          </cx:txPr>
        </cx:title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00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US" sz="10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microsoft.com/office/2014/relationships/chartEx" Target="../charts/chartEx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163287</xdr:colOff>
      <xdr:row>28</xdr:row>
      <xdr:rowOff>299355</xdr:rowOff>
    </xdr:from>
    <xdr:to>
      <xdr:col>22</xdr:col>
      <xdr:colOff>19050</xdr:colOff>
      <xdr:row>48</xdr:row>
      <xdr:rowOff>108441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8DBF7EE-3B02-47CE-8EE6-FD7E9B40A7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190500</xdr:colOff>
      <xdr:row>28</xdr:row>
      <xdr:rowOff>206369</xdr:rowOff>
    </xdr:from>
    <xdr:to>
      <xdr:col>15</xdr:col>
      <xdr:colOff>438150</xdr:colOff>
      <xdr:row>49</xdr:row>
      <xdr:rowOff>2717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4B6FE59-DFCF-478E-BD1E-3F6FD4EB25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174624</xdr:colOff>
      <xdr:row>2</xdr:row>
      <xdr:rowOff>111123</xdr:rowOff>
    </xdr:from>
    <xdr:to>
      <xdr:col>15</xdr:col>
      <xdr:colOff>396874</xdr:colOff>
      <xdr:row>27</xdr:row>
      <xdr:rowOff>232495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6441A08-722F-477C-A945-CC2C16C414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105460</xdr:colOff>
      <xdr:row>3</xdr:row>
      <xdr:rowOff>13608</xdr:rowOff>
    </xdr:from>
    <xdr:to>
      <xdr:col>21</xdr:col>
      <xdr:colOff>2647950</xdr:colOff>
      <xdr:row>27</xdr:row>
      <xdr:rowOff>193944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74D4B2FE-1F5E-4F82-A053-69681925471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92969</xdr:colOff>
      <xdr:row>0</xdr:row>
      <xdr:rowOff>0</xdr:rowOff>
    </xdr:from>
    <xdr:to>
      <xdr:col>7</xdr:col>
      <xdr:colOff>58951</xdr:colOff>
      <xdr:row>0</xdr:row>
      <xdr:rowOff>1013006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A0BFF22-BCF1-4CB9-8512-3A6457AD5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5844" y="0"/>
          <a:ext cx="997857" cy="1013006"/>
        </a:xfrm>
        <a:prstGeom prst="rect">
          <a:avLst/>
        </a:prstGeom>
      </xdr:spPr>
    </xdr:pic>
    <xdr:clientData/>
  </xdr:twoCellAnchor>
  <xdr:twoCellAnchor editAs="oneCell">
    <xdr:from>
      <xdr:col>16</xdr:col>
      <xdr:colOff>57150</xdr:colOff>
      <xdr:row>0</xdr:row>
      <xdr:rowOff>0</xdr:rowOff>
    </xdr:from>
    <xdr:to>
      <xdr:col>17</xdr:col>
      <xdr:colOff>449035</xdr:colOff>
      <xdr:row>0</xdr:row>
      <xdr:rowOff>1013006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DC2776E-A244-46D3-AE4F-B498E316A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0" y="0"/>
          <a:ext cx="1001485" cy="10130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1006928</xdr:colOff>
      <xdr:row>0</xdr:row>
      <xdr:rowOff>1013006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D287873-4A13-4536-AE72-8B50EBDE0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6928" cy="1013006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0.4401</cdr:x>
      <cdr:y>0.35462</cdr:y>
    </cdr:from>
    <cdr:to>
      <cdr:x>0.84559</cdr:x>
      <cdr:y>0.4539</cdr:y>
    </cdr:to>
    <cdr:sp macro="" textlink="'Emissions calculations'!$E$56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5BAE7A32-49C9-4D58-8DE6-2BFC443D0131}"/>
            </a:ext>
          </a:extLst>
        </cdr:cNvPr>
        <cdr:cNvSpPr txBox="1"/>
      </cdr:nvSpPr>
      <cdr:spPr>
        <a:xfrm xmlns:a="http://schemas.openxmlformats.org/drawingml/2006/main">
          <a:off x="2307570" y="1469725"/>
          <a:ext cx="2126090" cy="411463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A59BB325-6DA1-472D-8905-273467DD3095}" type="TxLink">
            <a:rPr lang="en-US" sz="1200" b="1" i="0" u="none" strike="noStrike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n-GB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0.37231</cdr:x>
      <cdr:y>0.2654</cdr:y>
    </cdr:from>
    <cdr:to>
      <cdr:x>0.82775</cdr:x>
      <cdr:y>0.36238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6973A861-9992-4310-859B-B952D76C53C8}"/>
            </a:ext>
          </a:extLst>
        </cdr:cNvPr>
        <cdr:cNvSpPr txBox="1"/>
      </cdr:nvSpPr>
      <cdr:spPr>
        <a:xfrm xmlns:a="http://schemas.openxmlformats.org/drawingml/2006/main">
          <a:off x="2391573" y="930955"/>
          <a:ext cx="2925535" cy="340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Average emissions avoided per annum</a:t>
          </a:r>
        </a:p>
      </cdr:txBody>
    </cdr:sp>
  </cdr:relSizeAnchor>
</c:userShapes>
</file>

<file path=xl/theme/theme1.xml><?xml version="1.0" encoding="utf-8"?>
<a:theme xmlns:a="http://schemas.openxmlformats.org/drawingml/2006/main" name="SEforALL theme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26E65-943C-48FF-95EC-3B0174795B59}">
  <dimension ref="A1:Z29"/>
  <sheetViews>
    <sheetView showGridLines="0" zoomScale="70" zoomScaleNormal="70" workbookViewId="0">
      <selection activeCell="A2" sqref="A2:Z2"/>
    </sheetView>
  </sheetViews>
  <sheetFormatPr defaultRowHeight="15"/>
  <cols>
    <col min="4" max="4" width="15.28515625" customWidth="1"/>
  </cols>
  <sheetData>
    <row r="1" spans="1:26">
      <c r="A1" s="93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6" ht="21">
      <c r="A2" s="190" t="s">
        <v>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</row>
    <row r="3" spans="1:26">
      <c r="A3" s="94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6"/>
      <c r="R3" s="96"/>
      <c r="S3" s="96"/>
      <c r="T3" s="97"/>
      <c r="U3" s="97"/>
    </row>
    <row r="4" spans="1:26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</row>
    <row r="5" spans="1:26">
      <c r="A5" s="102">
        <v>1</v>
      </c>
      <c r="B5" s="103" t="s">
        <v>2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</row>
    <row r="6" spans="1:26">
      <c r="A6" s="102"/>
      <c r="B6" s="76" t="s">
        <v>3</v>
      </c>
      <c r="C6" s="103" t="s">
        <v>4</v>
      </c>
      <c r="D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</row>
    <row r="7" spans="1:26">
      <c r="A7" s="102"/>
      <c r="B7" s="73" t="s">
        <v>3</v>
      </c>
      <c r="C7" s="103" t="s">
        <v>5</v>
      </c>
      <c r="D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</row>
    <row r="8" spans="1:26">
      <c r="A8" s="102"/>
      <c r="B8" s="100" t="s">
        <v>3</v>
      </c>
      <c r="C8" s="103" t="s">
        <v>6</v>
      </c>
      <c r="D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</row>
    <row r="9" spans="1:26">
      <c r="A9" s="102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</row>
    <row r="10" spans="1:26">
      <c r="A10" s="102">
        <v>2</v>
      </c>
      <c r="B10" s="103" t="s">
        <v>7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</row>
    <row r="11" spans="1:26">
      <c r="A11" s="102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</row>
    <row r="12" spans="1:26">
      <c r="A12" s="3">
        <v>3</v>
      </c>
      <c r="B12" s="119" t="s">
        <v>8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1"/>
      <c r="R12" s="121"/>
      <c r="S12" s="121"/>
      <c r="T12" s="121"/>
      <c r="U12" s="121"/>
    </row>
    <row r="13" spans="1:26">
      <c r="B13" s="123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1"/>
      <c r="R13" s="121"/>
      <c r="S13" s="121"/>
      <c r="T13" s="121"/>
      <c r="U13" s="121"/>
    </row>
    <row r="14" spans="1:26">
      <c r="A14" s="102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</row>
    <row r="15" spans="1:26">
      <c r="A15" s="93" t="s">
        <v>9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</row>
    <row r="16" spans="1:26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</row>
    <row r="17" spans="1:21">
      <c r="A17" s="94" t="s">
        <v>10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6"/>
      <c r="R17" s="96"/>
      <c r="S17" s="96"/>
      <c r="T17" s="96"/>
      <c r="U17" s="96"/>
    </row>
    <row r="18" spans="1:21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2"/>
      <c r="R18" s="92"/>
      <c r="S18" s="92"/>
      <c r="T18" s="92"/>
      <c r="U18" s="92"/>
    </row>
    <row r="19" spans="1:21">
      <c r="A19" s="119" t="s">
        <v>11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1"/>
      <c r="R19" s="121"/>
      <c r="S19" s="121"/>
      <c r="T19" s="121"/>
      <c r="U19" s="121"/>
    </row>
    <row r="20" spans="1:21">
      <c r="A20" s="122" t="s">
        <v>12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1"/>
      <c r="R20" s="121"/>
      <c r="S20" s="121"/>
      <c r="T20" s="121"/>
      <c r="U20" s="121"/>
    </row>
    <row r="21" spans="1:21">
      <c r="A21" s="120" t="s">
        <v>13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1"/>
      <c r="R21" s="121"/>
      <c r="S21" s="121"/>
      <c r="T21" s="121"/>
      <c r="U21" s="121"/>
    </row>
    <row r="22" spans="1:21">
      <c r="A22" s="120" t="s">
        <v>14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1"/>
      <c r="R22" s="121"/>
      <c r="S22" s="121"/>
      <c r="T22" s="121"/>
      <c r="U22" s="121"/>
    </row>
    <row r="23" spans="1:21">
      <c r="A23" s="120" t="s">
        <v>15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1"/>
      <c r="R23" s="121"/>
      <c r="S23" s="121"/>
      <c r="T23" s="121"/>
      <c r="U23" s="121"/>
    </row>
    <row r="24" spans="1:21">
      <c r="A24" s="120" t="s">
        <v>16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1"/>
      <c r="R24" s="121"/>
      <c r="S24" s="121"/>
      <c r="T24" s="121"/>
      <c r="U24" s="121"/>
    </row>
    <row r="25" spans="1:21">
      <c r="A25" s="119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1"/>
      <c r="R25" s="121"/>
      <c r="S25" s="121"/>
      <c r="T25" s="121"/>
      <c r="U25" s="121"/>
    </row>
    <row r="26" spans="1:21">
      <c r="A26" s="124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1"/>
      <c r="R26" s="121"/>
      <c r="S26" s="121"/>
      <c r="T26" s="121"/>
      <c r="U26" s="121"/>
    </row>
    <row r="27" spans="1:21">
      <c r="A27" s="124" t="s">
        <v>17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1"/>
      <c r="R27" s="121"/>
      <c r="S27" s="121"/>
      <c r="T27" s="121"/>
      <c r="U27" s="121"/>
    </row>
    <row r="28" spans="1:21">
      <c r="A28" s="120" t="s">
        <v>18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1"/>
      <c r="R28" s="121"/>
      <c r="S28" s="121"/>
      <c r="T28" s="121"/>
      <c r="U28" s="121"/>
    </row>
    <row r="29" spans="1:21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2"/>
      <c r="R29" s="92"/>
      <c r="S29" s="92"/>
      <c r="T29" s="92"/>
      <c r="U29" s="92"/>
    </row>
  </sheetData>
  <sheetProtection algorithmName="SHA-512" hashValue="EeWrgCjHIBnHjlMWe+nNuWsm0VVOX0EhWAe1cnW2CZN1D2w2MlBdn0NAXtcFhjt+9vYgwAICdvT6TnB1JewrCA==" saltValue="FPBxsKagIQuM1RcjkxnYXA==" spinCount="100000" sheet="1" objects="1" scenarios="1"/>
  <mergeCells count="1">
    <mergeCell ref="A2:Z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AC4CD-E7FF-41D5-A06D-88BDA72453E9}">
  <sheetPr>
    <pageSetUpPr fitToPage="1"/>
  </sheetPr>
  <dimension ref="A1:F47"/>
  <sheetViews>
    <sheetView showGridLines="0" topLeftCell="A16" zoomScale="60" zoomScaleNormal="60" zoomScalePageLayoutView="60" workbookViewId="0">
      <selection activeCell="A18" sqref="A18"/>
    </sheetView>
  </sheetViews>
  <sheetFormatPr defaultColWidth="9.140625" defaultRowHeight="12"/>
  <cols>
    <col min="1" max="1" width="25.28515625" style="87" customWidth="1"/>
    <col min="2" max="2" width="15.7109375" style="87" customWidth="1"/>
    <col min="3" max="3" width="33" style="87" customWidth="1"/>
    <col min="4" max="4" width="18.5703125" style="87" customWidth="1"/>
    <col min="5" max="5" width="4.7109375" style="87" customWidth="1"/>
    <col min="6" max="6" width="6.42578125" style="87" customWidth="1"/>
    <col min="7" max="21" width="9.140625" style="87"/>
    <col min="22" max="22" width="40" style="87" customWidth="1"/>
    <col min="23" max="23" width="2.140625" style="87" customWidth="1"/>
    <col min="24" max="16384" width="9.140625" style="87"/>
  </cols>
  <sheetData>
    <row r="1" spans="1:4" ht="87" customHeight="1"/>
    <row r="2" spans="1:4">
      <c r="A2" s="125" t="str">
        <f>Inputs!A4</f>
        <v>Country/Region</v>
      </c>
      <c r="B2" s="126" t="str">
        <f>Inputs!B4</f>
        <v>Benin</v>
      </c>
    </row>
    <row r="3" spans="1:4" ht="12.75" thickBot="1">
      <c r="A3" s="127"/>
      <c r="B3" s="127"/>
    </row>
    <row r="4" spans="1:4" ht="12.75" thickBot="1">
      <c r="A4" s="191" t="s">
        <v>19</v>
      </c>
      <c r="B4" s="192"/>
      <c r="C4" s="192"/>
      <c r="D4" s="193"/>
    </row>
    <row r="5" spans="1:4">
      <c r="A5" s="128" t="s">
        <v>20</v>
      </c>
      <c r="B5" s="126" t="s">
        <v>21</v>
      </c>
      <c r="C5" s="128" t="s">
        <v>22</v>
      </c>
      <c r="D5" s="128" t="s">
        <v>23</v>
      </c>
    </row>
    <row r="6" spans="1:4">
      <c r="A6" s="117" t="s">
        <v>24</v>
      </c>
      <c r="B6" s="117" t="s">
        <v>25</v>
      </c>
      <c r="C6" s="129" t="str">
        <f>IF(Inputs!I7=0,"-",Inputs!I7)</f>
        <v>Kerosene lamps - general</v>
      </c>
      <c r="D6" s="130" t="str">
        <f>IF(Inputs!J7=0,"-",Inputs!J7)</f>
        <v>-</v>
      </c>
    </row>
    <row r="7" spans="1:4">
      <c r="A7" s="127"/>
      <c r="B7" s="127"/>
      <c r="C7" s="129" t="str">
        <f>IF(Inputs!I8=0,"-",Inputs!I8)</f>
        <v>Petrol generator</v>
      </c>
      <c r="D7" s="130" t="str">
        <f>IF(Inputs!J8=0,"-",Inputs!J8)</f>
        <v>-</v>
      </c>
    </row>
    <row r="8" spans="1:4">
      <c r="A8" s="127"/>
      <c r="B8" s="127"/>
      <c r="C8" s="129" t="str">
        <f>IF(Inputs!I9=0,"-",Inputs!I9)</f>
        <v>Solar PV</v>
      </c>
      <c r="D8" s="130" t="str">
        <f>IF(Inputs!J9=0,"-",Inputs!J9)</f>
        <v>-</v>
      </c>
    </row>
    <row r="9" spans="1:4">
      <c r="A9" s="127"/>
      <c r="B9" s="117" t="s">
        <v>26</v>
      </c>
      <c r="C9" s="129" t="str">
        <f>IF(Inputs!I10=0,"-",Inputs!I10)</f>
        <v>Petrol generator</v>
      </c>
      <c r="D9" s="130" t="str">
        <f>IF(Inputs!J10=0,"-",Inputs!J10)</f>
        <v>-</v>
      </c>
    </row>
    <row r="10" spans="1:4">
      <c r="A10" s="127"/>
      <c r="B10" s="127"/>
      <c r="C10" s="129" t="str">
        <f>IF(Inputs!I11=0,"-",Inputs!I11)</f>
        <v>Diesel generator (previous source)</v>
      </c>
      <c r="D10" s="130" t="str">
        <f>IF(Inputs!J11=0,"-",Inputs!J11)</f>
        <v>-</v>
      </c>
    </row>
    <row r="11" spans="1:4">
      <c r="A11" s="127"/>
      <c r="B11" s="127"/>
      <c r="C11" s="129" t="str">
        <f>IF(Inputs!I12=0,"-",Inputs!I12)</f>
        <v>Solar PV</v>
      </c>
      <c r="D11" s="130" t="str">
        <f>IF(Inputs!J12=0,"-",Inputs!J12)</f>
        <v>-</v>
      </c>
    </row>
    <row r="12" spans="1:4" s="131" customFormat="1">
      <c r="C12" s="132"/>
      <c r="D12" s="133"/>
    </row>
    <row r="13" spans="1:4" ht="24">
      <c r="A13" s="117" t="s">
        <v>27</v>
      </c>
      <c r="B13" s="117" t="s">
        <v>28</v>
      </c>
      <c r="C13" s="134" t="str">
        <f>IF(Inputs!M7=0,"-",Inputs!M7)</f>
        <v>Petrol generator</v>
      </c>
      <c r="D13" s="130">
        <f>IF(Inputs!N7=0,"-",Inputs!N7)</f>
        <v>1</v>
      </c>
    </row>
    <row r="14" spans="1:4">
      <c r="A14" s="127"/>
      <c r="B14" s="127"/>
      <c r="C14" s="134" t="str">
        <f>IF(Inputs!M8=0,"-",Inputs!M8)</f>
        <v>-</v>
      </c>
      <c r="D14" s="130" t="str">
        <f>IF(Inputs!N8=0,"-",Inputs!N8)</f>
        <v>-</v>
      </c>
    </row>
    <row r="15" spans="1:4">
      <c r="A15" s="127"/>
      <c r="B15" s="127"/>
      <c r="C15" s="134" t="str">
        <f>IF(Inputs!M9=0,"-",Inputs!M9)</f>
        <v>-</v>
      </c>
      <c r="D15" s="130" t="str">
        <f>IF(Inputs!N9=0,"-",Inputs!N9)</f>
        <v>-</v>
      </c>
    </row>
    <row r="16" spans="1:4">
      <c r="A16" s="127"/>
      <c r="B16" s="127"/>
      <c r="C16" s="134" t="str">
        <f>IF(Inputs!M10=0,"-",Inputs!M10)</f>
        <v>-</v>
      </c>
      <c r="D16" s="130" t="str">
        <f>IF(Inputs!N10=0,"-",Inputs!N10)</f>
        <v>-</v>
      </c>
    </row>
    <row r="17" spans="1:4">
      <c r="A17" s="127"/>
      <c r="B17" s="127"/>
      <c r="C17" s="134" t="str">
        <f>IF(Inputs!M11=0,"-",Inputs!M11)</f>
        <v>-</v>
      </c>
      <c r="D17" s="130" t="str">
        <f>IF(Inputs!N11=0,"-",Inputs!N11)</f>
        <v>-</v>
      </c>
    </row>
    <row r="18" spans="1:4">
      <c r="A18" s="128" t="s">
        <v>29</v>
      </c>
      <c r="B18" s="127"/>
    </row>
    <row r="19" spans="1:4">
      <c r="A19" s="117" t="s">
        <v>24</v>
      </c>
      <c r="B19" s="117" t="s">
        <v>30</v>
      </c>
      <c r="C19" s="135">
        <f>'Emissions calculations'!C29</f>
        <v>0</v>
      </c>
      <c r="D19" s="136" t="s">
        <v>31</v>
      </c>
    </row>
    <row r="20" spans="1:4" ht="24">
      <c r="A20" s="117" t="s">
        <v>24</v>
      </c>
      <c r="B20" s="117" t="s">
        <v>32</v>
      </c>
      <c r="C20" s="135">
        <f>'Emissions calculations'!C36</f>
        <v>0</v>
      </c>
      <c r="D20" s="136" t="s">
        <v>31</v>
      </c>
    </row>
    <row r="21" spans="1:4">
      <c r="A21" s="127"/>
      <c r="B21" s="117" t="s">
        <v>33</v>
      </c>
      <c r="C21" s="135">
        <f>SUM(C19:C20)</f>
        <v>0</v>
      </c>
      <c r="D21" s="136" t="s">
        <v>31</v>
      </c>
    </row>
    <row r="22" spans="1:4" ht="24">
      <c r="A22" s="117" t="s">
        <v>27</v>
      </c>
      <c r="B22" s="117" t="s">
        <v>28</v>
      </c>
      <c r="C22" s="135">
        <f>'Emissions calculations'!C47</f>
        <v>27948.04086174821</v>
      </c>
      <c r="D22" s="136" t="s">
        <v>31</v>
      </c>
    </row>
    <row r="23" spans="1:4">
      <c r="A23" s="118" t="s">
        <v>34</v>
      </c>
      <c r="B23" s="117"/>
      <c r="C23" s="137">
        <f>C22+C21</f>
        <v>27948.04086174821</v>
      </c>
      <c r="D23" s="136" t="s">
        <v>31</v>
      </c>
    </row>
    <row r="24" spans="1:4" s="127" customFormat="1" ht="12.75" thickBot="1"/>
    <row r="25" spans="1:4" s="127" customFormat="1" ht="12.75" thickBot="1">
      <c r="A25" s="191" t="s">
        <v>35</v>
      </c>
      <c r="B25" s="192"/>
      <c r="C25" s="192"/>
      <c r="D25" s="193"/>
    </row>
    <row r="26" spans="1:4">
      <c r="A26" s="128" t="s">
        <v>36</v>
      </c>
    </row>
    <row r="27" spans="1:4">
      <c r="A27" s="117" t="s">
        <v>37</v>
      </c>
      <c r="C27" s="135">
        <f>Inputs!B7</f>
        <v>10000</v>
      </c>
      <c r="D27" s="136" t="s">
        <v>38</v>
      </c>
    </row>
    <row r="28" spans="1:4" ht="24">
      <c r="A28" s="117" t="s">
        <v>39</v>
      </c>
      <c r="C28" s="135">
        <f>'Emissions calculations'!C10</f>
        <v>6000</v>
      </c>
      <c r="D28" s="136" t="s">
        <v>38</v>
      </c>
    </row>
    <row r="29" spans="1:4" ht="36">
      <c r="A29" s="117" t="s">
        <v>40</v>
      </c>
      <c r="C29" s="135">
        <f>'Emissions calculations'!C11</f>
        <v>4000</v>
      </c>
      <c r="D29" s="136" t="s">
        <v>38</v>
      </c>
    </row>
    <row r="30" spans="1:4" s="127" customFormat="1">
      <c r="C30" s="138"/>
      <c r="D30" s="139"/>
    </row>
    <row r="31" spans="1:4">
      <c r="A31" s="128" t="s">
        <v>41</v>
      </c>
    </row>
    <row r="32" spans="1:4" ht="24">
      <c r="A32" s="117" t="s">
        <v>42</v>
      </c>
      <c r="C32" s="135">
        <f>'Emissions calculations'!C14</f>
        <v>45569563.042447396</v>
      </c>
      <c r="D32" s="136" t="s">
        <v>43</v>
      </c>
    </row>
    <row r="33" spans="1:6" ht="24">
      <c r="A33" s="117" t="s">
        <v>44</v>
      </c>
      <c r="B33" s="87" t="s">
        <v>45</v>
      </c>
      <c r="C33" s="135">
        <f>'Emissions calculations'!C16</f>
        <v>13670868.912734218</v>
      </c>
      <c r="D33" s="136" t="s">
        <v>43</v>
      </c>
    </row>
    <row r="34" spans="1:6" ht="48">
      <c r="A34" s="117" t="s">
        <v>46</v>
      </c>
      <c r="B34" s="87" t="s">
        <v>47</v>
      </c>
      <c r="C34" s="135">
        <f>'Emissions calculations'!C18</f>
        <v>31898694.129713178</v>
      </c>
      <c r="D34" s="136" t="s">
        <v>43</v>
      </c>
    </row>
    <row r="36" spans="1:6">
      <c r="A36" s="128" t="s">
        <v>48</v>
      </c>
    </row>
    <row r="37" spans="1:6" ht="24">
      <c r="A37" s="117" t="s">
        <v>49</v>
      </c>
      <c r="B37" s="117" t="str">
        <f>Inputs!B22</f>
        <v>Solar PV</v>
      </c>
      <c r="C37" s="196">
        <f>Inputs!C22</f>
        <v>0.6</v>
      </c>
      <c r="D37" s="197"/>
    </row>
    <row r="38" spans="1:6" ht="24">
      <c r="A38" s="117" t="s">
        <v>50</v>
      </c>
      <c r="B38" s="117" t="str">
        <f>Inputs!B23</f>
        <v>Diesel generator (mini-grid)</v>
      </c>
      <c r="C38" s="196">
        <f>Inputs!C23</f>
        <v>0.4</v>
      </c>
      <c r="D38" s="197"/>
    </row>
    <row r="40" spans="1:6">
      <c r="A40" s="128" t="s">
        <v>51</v>
      </c>
    </row>
    <row r="41" spans="1:6" ht="24">
      <c r="A41" s="117" t="s">
        <v>52</v>
      </c>
      <c r="C41" s="135">
        <f>'Emissions calculations'!C53</f>
        <v>14582.260173583169</v>
      </c>
      <c r="D41" s="136" t="s">
        <v>53</v>
      </c>
    </row>
    <row r="42" spans="1:6" ht="7.5" customHeight="1" thickBot="1"/>
    <row r="43" spans="1:6" ht="12.75" thickBot="1">
      <c r="A43" s="191" t="s">
        <v>54</v>
      </c>
      <c r="B43" s="192"/>
      <c r="C43" s="194"/>
      <c r="D43" s="195"/>
    </row>
    <row r="44" spans="1:6">
      <c r="A44" s="117" t="s">
        <v>55</v>
      </c>
      <c r="C44" s="140">
        <f>SUM(C21,C22)</f>
        <v>27948.04086174821</v>
      </c>
      <c r="D44" s="141" t="s">
        <v>53</v>
      </c>
    </row>
    <row r="45" spans="1:6" ht="19.5" customHeight="1">
      <c r="A45" s="117" t="s">
        <v>56</v>
      </c>
      <c r="C45" s="143">
        <f>C23-C46</f>
        <v>13365.780688165041</v>
      </c>
      <c r="D45" s="144" t="s">
        <v>53</v>
      </c>
      <c r="E45" s="145"/>
      <c r="F45" s="145"/>
    </row>
    <row r="46" spans="1:6">
      <c r="A46" s="117" t="s">
        <v>57</v>
      </c>
      <c r="C46" s="140">
        <f>C41</f>
        <v>14582.260173583169</v>
      </c>
      <c r="D46" s="141" t="s">
        <v>53</v>
      </c>
    </row>
    <row r="47" spans="1:6" ht="24">
      <c r="A47" s="117" t="s">
        <v>58</v>
      </c>
      <c r="C47" s="143">
        <f>'Emissions calculations'!C56</f>
        <v>668</v>
      </c>
      <c r="D47" s="142"/>
    </row>
  </sheetData>
  <sheetProtection algorithmName="SHA-512" hashValue="ywsESMfI1Vn9/ngPYTN8r3F7zTvWN0E580Ke/Z/nY7lidIobkMi3vCYQP0Lhx3GMvhcTNc9u5Uvn6OpqPbFgmw==" saltValue="kRl8ivtlNA/q5zr9diUEig==" spinCount="100000" sheet="1" objects="1" scenarios="1"/>
  <protectedRanges>
    <protectedRange algorithmName="SHA-512" hashValue="PBGOCrRAjrr3L2/qhxXNQve8KF4c0ox2LLspFnOY9a1XleBWkjUBcHUaNfTCSRKKtUKT3dUmmPS7fLJoIbDDzw==" saltValue="C2qChz6y5ytX4h2utuS5Hg==" spinCount="100000" sqref="A2:F51" name="Dashboard Outputs"/>
  </protectedRanges>
  <mergeCells count="5">
    <mergeCell ref="A25:D25"/>
    <mergeCell ref="A4:D4"/>
    <mergeCell ref="A43:D43"/>
    <mergeCell ref="C37:D37"/>
    <mergeCell ref="C38:D38"/>
  </mergeCells>
  <pageMargins left="0.70866141732283472" right="0.70866141732283472" top="0.74803149606299213" bottom="0.74803149606299213" header="0.31496062992125984" footer="0.31496062992125984"/>
  <pageSetup paperSize="9" scale="89" fitToWidth="0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68DE7-A7D8-4735-92B0-38AE870CDB02}">
  <dimension ref="B1:M54"/>
  <sheetViews>
    <sheetView workbookViewId="0">
      <selection activeCell="M12" sqref="M12"/>
    </sheetView>
  </sheetViews>
  <sheetFormatPr defaultRowHeight="15"/>
  <sheetData>
    <row r="1" spans="2:13">
      <c r="B1" s="3" t="s">
        <v>59</v>
      </c>
      <c r="E1" s="3" t="s">
        <v>60</v>
      </c>
      <c r="H1" s="3" t="s">
        <v>61</v>
      </c>
      <c r="M1" s="3" t="s">
        <v>48</v>
      </c>
    </row>
    <row r="2" spans="2:13">
      <c r="B2" t="s">
        <v>62</v>
      </c>
      <c r="E2" t="s">
        <v>63</v>
      </c>
      <c r="M2" t="s">
        <v>64</v>
      </c>
    </row>
    <row r="3" spans="2:13">
      <c r="E3" t="s">
        <v>65</v>
      </c>
      <c r="H3" t="s">
        <v>66</v>
      </c>
      <c r="M3" t="s">
        <v>67</v>
      </c>
    </row>
    <row r="4" spans="2:13">
      <c r="E4" t="s">
        <v>68</v>
      </c>
      <c r="H4" t="s">
        <v>69</v>
      </c>
    </row>
    <row r="5" spans="2:13">
      <c r="E5" t="s">
        <v>70</v>
      </c>
      <c r="H5" t="s">
        <v>71</v>
      </c>
    </row>
    <row r="6" spans="2:13">
      <c r="E6" t="s">
        <v>72</v>
      </c>
      <c r="H6" t="s">
        <v>73</v>
      </c>
    </row>
    <row r="7" spans="2:13">
      <c r="E7" t="s">
        <v>74</v>
      </c>
      <c r="H7" t="s">
        <v>75</v>
      </c>
    </row>
    <row r="8" spans="2:13">
      <c r="E8" t="s">
        <v>76</v>
      </c>
      <c r="H8" t="s">
        <v>77</v>
      </c>
    </row>
    <row r="9" spans="2:13">
      <c r="E9" t="s">
        <v>78</v>
      </c>
      <c r="H9" t="s">
        <v>64</v>
      </c>
    </row>
    <row r="10" spans="2:13">
      <c r="E10" t="s">
        <v>79</v>
      </c>
      <c r="H10" t="s">
        <v>80</v>
      </c>
    </row>
    <row r="11" spans="2:13">
      <c r="E11" t="s">
        <v>81</v>
      </c>
      <c r="H11" t="s">
        <v>82</v>
      </c>
    </row>
    <row r="12" spans="2:13">
      <c r="E12" t="s">
        <v>83</v>
      </c>
      <c r="H12" t="s">
        <v>84</v>
      </c>
    </row>
    <row r="13" spans="2:13">
      <c r="E13" t="s">
        <v>85</v>
      </c>
    </row>
    <row r="14" spans="2:13">
      <c r="E14" t="s">
        <v>86</v>
      </c>
    </row>
    <row r="15" spans="2:13">
      <c r="E15" t="s">
        <v>87</v>
      </c>
    </row>
    <row r="16" spans="2:13">
      <c r="E16" t="s">
        <v>88</v>
      </c>
    </row>
    <row r="17" spans="5:5">
      <c r="E17" t="s">
        <v>89</v>
      </c>
    </row>
    <row r="18" spans="5:5">
      <c r="E18" t="s">
        <v>90</v>
      </c>
    </row>
    <row r="19" spans="5:5">
      <c r="E19" t="s">
        <v>91</v>
      </c>
    </row>
    <row r="20" spans="5:5">
      <c r="E20" t="s">
        <v>92</v>
      </c>
    </row>
    <row r="21" spans="5:5">
      <c r="E21" t="s">
        <v>93</v>
      </c>
    </row>
    <row r="22" spans="5:5">
      <c r="E22" t="s">
        <v>94</v>
      </c>
    </row>
    <row r="23" spans="5:5">
      <c r="E23" t="s">
        <v>95</v>
      </c>
    </row>
    <row r="24" spans="5:5">
      <c r="E24" t="s">
        <v>96</v>
      </c>
    </row>
    <row r="25" spans="5:5">
      <c r="E25" t="s">
        <v>97</v>
      </c>
    </row>
    <row r="26" spans="5:5">
      <c r="E26" t="s">
        <v>98</v>
      </c>
    </row>
    <row r="27" spans="5:5">
      <c r="E27" t="s">
        <v>99</v>
      </c>
    </row>
    <row r="28" spans="5:5">
      <c r="E28" t="s">
        <v>100</v>
      </c>
    </row>
    <row r="29" spans="5:5">
      <c r="E29" t="s">
        <v>101</v>
      </c>
    </row>
    <row r="30" spans="5:5">
      <c r="E30" t="s">
        <v>102</v>
      </c>
    </row>
    <row r="31" spans="5:5">
      <c r="E31" t="s">
        <v>103</v>
      </c>
    </row>
    <row r="32" spans="5:5">
      <c r="E32" t="s">
        <v>104</v>
      </c>
    </row>
    <row r="33" spans="5:5">
      <c r="E33" t="s">
        <v>105</v>
      </c>
    </row>
    <row r="34" spans="5:5">
      <c r="E34" t="s">
        <v>106</v>
      </c>
    </row>
    <row r="35" spans="5:5">
      <c r="E35" t="s">
        <v>107</v>
      </c>
    </row>
    <row r="36" spans="5:5">
      <c r="E36" t="s">
        <v>108</v>
      </c>
    </row>
    <row r="37" spans="5:5">
      <c r="E37" t="s">
        <v>109</v>
      </c>
    </row>
    <row r="38" spans="5:5">
      <c r="E38" t="s">
        <v>110</v>
      </c>
    </row>
    <row r="39" spans="5:5">
      <c r="E39" t="s">
        <v>111</v>
      </c>
    </row>
    <row r="40" spans="5:5">
      <c r="E40" t="s">
        <v>112</v>
      </c>
    </row>
    <row r="41" spans="5:5">
      <c r="E41" t="s">
        <v>113</v>
      </c>
    </row>
    <row r="42" spans="5:5">
      <c r="E42" t="s">
        <v>114</v>
      </c>
    </row>
    <row r="43" spans="5:5">
      <c r="E43" t="s">
        <v>115</v>
      </c>
    </row>
    <row r="44" spans="5:5">
      <c r="E44" t="s">
        <v>116</v>
      </c>
    </row>
    <row r="45" spans="5:5">
      <c r="E45" t="s">
        <v>117</v>
      </c>
    </row>
    <row r="46" spans="5:5">
      <c r="E46" t="s">
        <v>118</v>
      </c>
    </row>
    <row r="47" spans="5:5">
      <c r="E47" t="s">
        <v>119</v>
      </c>
    </row>
    <row r="48" spans="5:5">
      <c r="E48" t="s">
        <v>120</v>
      </c>
    </row>
    <row r="49" spans="5:5">
      <c r="E49" t="s">
        <v>121</v>
      </c>
    </row>
    <row r="50" spans="5:5">
      <c r="E50" t="s">
        <v>122</v>
      </c>
    </row>
    <row r="51" spans="5:5">
      <c r="E51" t="s">
        <v>123</v>
      </c>
    </row>
    <row r="52" spans="5:5">
      <c r="E52" t="s">
        <v>124</v>
      </c>
    </row>
    <row r="53" spans="5:5">
      <c r="E53" t="s">
        <v>125</v>
      </c>
    </row>
    <row r="54" spans="5:5">
      <c r="E54" t="s">
        <v>126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292A8-A6A0-44B2-9C52-6F49B1FF2339}">
  <sheetPr>
    <tabColor theme="5" tint="0.79998168889431442"/>
  </sheetPr>
  <dimension ref="A1:W33"/>
  <sheetViews>
    <sheetView showGridLines="0" tabSelected="1" topLeftCell="A11" zoomScale="60" zoomScaleNormal="60" zoomScalePageLayoutView="60" workbookViewId="0">
      <selection activeCell="C14" sqref="C14"/>
    </sheetView>
  </sheetViews>
  <sheetFormatPr defaultRowHeight="15"/>
  <cols>
    <col min="1" max="1" width="53.140625" customWidth="1"/>
    <col min="2" max="2" width="21.7109375" customWidth="1"/>
    <col min="3" max="3" width="33.5703125" customWidth="1"/>
    <col min="4" max="4" width="5.42578125" customWidth="1"/>
    <col min="5" max="5" width="3.28515625" customWidth="1"/>
    <col min="6" max="6" width="3.42578125" customWidth="1"/>
    <col min="7" max="7" width="4.7109375" customWidth="1"/>
    <col min="8" max="8" width="24" customWidth="1"/>
    <col min="9" max="9" width="34" customWidth="1"/>
    <col min="10" max="10" width="35.140625" customWidth="1"/>
    <col min="11" max="11" width="12.42578125" customWidth="1"/>
    <col min="12" max="12" width="31.7109375" customWidth="1"/>
    <col min="13" max="13" width="20.5703125" customWidth="1"/>
    <col min="14" max="14" width="29.85546875" customWidth="1"/>
    <col min="16" max="16" width="18.28515625" customWidth="1"/>
  </cols>
  <sheetData>
    <row r="1" spans="1:23">
      <c r="A1" s="172"/>
    </row>
    <row r="2" spans="1:23">
      <c r="A2" s="173" t="s">
        <v>127</v>
      </c>
      <c r="B2" s="113"/>
      <c r="C2" s="113"/>
      <c r="D2" s="77"/>
      <c r="E2" s="77"/>
      <c r="F2" s="77"/>
      <c r="G2" s="77"/>
      <c r="H2" s="207" t="s">
        <v>128</v>
      </c>
      <c r="I2" s="207"/>
      <c r="J2" s="207"/>
      <c r="K2" s="207"/>
      <c r="L2" s="207"/>
      <c r="M2" s="207"/>
      <c r="N2" s="207"/>
      <c r="O2" s="66"/>
      <c r="P2" s="66"/>
      <c r="Q2" s="66"/>
      <c r="R2" s="66"/>
      <c r="S2" s="66"/>
    </row>
    <row r="3" spans="1:23">
      <c r="A3" s="180" t="s">
        <v>129</v>
      </c>
      <c r="B3" s="188" t="s">
        <v>62</v>
      </c>
      <c r="C3" s="66"/>
      <c r="D3" s="66"/>
      <c r="E3" s="66"/>
      <c r="F3" s="66"/>
      <c r="G3" s="66"/>
      <c r="O3" s="66"/>
      <c r="P3" s="66"/>
      <c r="Q3" s="66"/>
      <c r="R3" s="66"/>
      <c r="S3" s="66"/>
    </row>
    <row r="4" spans="1:23" ht="15" customHeight="1">
      <c r="A4" s="180" t="s">
        <v>130</v>
      </c>
      <c r="B4" s="188" t="s">
        <v>76</v>
      </c>
      <c r="C4" s="66"/>
      <c r="D4" s="66"/>
      <c r="E4" s="66"/>
      <c r="F4" s="66"/>
      <c r="G4" s="66"/>
      <c r="H4" s="207" t="s">
        <v>131</v>
      </c>
      <c r="I4" s="207"/>
      <c r="J4" s="207"/>
      <c r="K4" s="207"/>
      <c r="L4" s="207"/>
      <c r="M4" s="207"/>
      <c r="N4" s="207"/>
      <c r="O4" s="66"/>
      <c r="P4" s="66"/>
      <c r="Q4" s="66"/>
      <c r="R4" s="66"/>
      <c r="S4" s="66"/>
    </row>
    <row r="5" spans="1:23" ht="54.75">
      <c r="A5" s="181"/>
      <c r="B5" s="66"/>
      <c r="C5" s="66"/>
      <c r="D5" s="66"/>
      <c r="E5" s="66"/>
      <c r="F5" s="66"/>
      <c r="G5" s="66"/>
      <c r="H5" s="108" t="s">
        <v>132</v>
      </c>
      <c r="I5" s="107"/>
      <c r="J5" s="107"/>
      <c r="K5" s="107"/>
      <c r="L5" s="108" t="s">
        <v>133</v>
      </c>
      <c r="M5" s="107"/>
      <c r="N5" s="107"/>
      <c r="O5" s="66"/>
      <c r="P5" s="66"/>
      <c r="Q5" s="66"/>
      <c r="R5" s="66"/>
      <c r="S5" s="66"/>
    </row>
    <row r="6" spans="1:23" ht="56.25" customHeight="1">
      <c r="A6" s="182" t="s">
        <v>134</v>
      </c>
      <c r="B6" s="146">
        <v>10000000</v>
      </c>
      <c r="C6" s="174" t="s">
        <v>135</v>
      </c>
      <c r="D6" s="66"/>
      <c r="E6" s="66"/>
      <c r="F6" s="66"/>
      <c r="G6" s="66"/>
      <c r="H6" s="71" t="s">
        <v>21</v>
      </c>
      <c r="I6" s="69" t="s">
        <v>136</v>
      </c>
      <c r="J6" s="70" t="s">
        <v>137</v>
      </c>
      <c r="K6" s="108"/>
      <c r="L6" s="71" t="s">
        <v>21</v>
      </c>
      <c r="M6" s="69" t="s">
        <v>136</v>
      </c>
      <c r="N6" s="70" t="s">
        <v>137</v>
      </c>
      <c r="O6" s="66"/>
      <c r="P6" s="66"/>
      <c r="Q6" s="66"/>
      <c r="R6" s="66"/>
      <c r="S6" s="66"/>
    </row>
    <row r="7" spans="1:23">
      <c r="A7" s="183" t="s">
        <v>138</v>
      </c>
      <c r="B7" s="147">
        <v>10000</v>
      </c>
      <c r="C7" s="175" t="s">
        <v>38</v>
      </c>
      <c r="D7" s="66"/>
      <c r="E7" s="66"/>
      <c r="F7" s="66"/>
      <c r="G7" s="66"/>
      <c r="H7" s="88" t="s">
        <v>139</v>
      </c>
      <c r="I7" s="158" t="s">
        <v>66</v>
      </c>
      <c r="J7" s="159"/>
      <c r="K7" s="107"/>
      <c r="L7" s="88" t="s">
        <v>140</v>
      </c>
      <c r="M7" s="165" t="s">
        <v>80</v>
      </c>
      <c r="N7" s="159">
        <v>1</v>
      </c>
      <c r="O7" s="66"/>
      <c r="P7" s="66"/>
      <c r="Q7" s="66"/>
      <c r="R7" s="66"/>
      <c r="S7" s="66"/>
    </row>
    <row r="8" spans="1:23">
      <c r="A8" s="183" t="s">
        <v>141</v>
      </c>
      <c r="B8" s="147">
        <v>6000</v>
      </c>
      <c r="C8" s="175" t="s">
        <v>38</v>
      </c>
      <c r="D8" s="66"/>
      <c r="E8" s="66"/>
      <c r="F8" s="66"/>
      <c r="G8" s="66"/>
      <c r="H8" s="88" t="s">
        <v>142</v>
      </c>
      <c r="I8" s="158" t="s">
        <v>80</v>
      </c>
      <c r="J8" s="159"/>
      <c r="K8" s="107"/>
      <c r="L8" s="88" t="s">
        <v>143</v>
      </c>
      <c r="M8" s="165"/>
      <c r="N8" s="159"/>
      <c r="O8" s="66"/>
      <c r="P8" s="66"/>
      <c r="Q8" s="66"/>
      <c r="R8" s="66"/>
      <c r="S8" s="66"/>
    </row>
    <row r="9" spans="1:23" ht="27.75">
      <c r="A9" s="183" t="s">
        <v>144</v>
      </c>
      <c r="B9" s="147">
        <v>4000</v>
      </c>
      <c r="C9" s="175" t="s">
        <v>38</v>
      </c>
      <c r="D9" s="66"/>
      <c r="E9" s="66"/>
      <c r="F9" s="66"/>
      <c r="G9" s="66"/>
      <c r="H9" s="88" t="s">
        <v>145</v>
      </c>
      <c r="I9" s="158" t="s">
        <v>64</v>
      </c>
      <c r="J9" s="159"/>
      <c r="K9" s="107"/>
      <c r="L9" s="88" t="s">
        <v>146</v>
      </c>
      <c r="M9" s="165"/>
      <c r="N9" s="159"/>
      <c r="O9" s="66"/>
      <c r="P9" s="66"/>
      <c r="Q9" s="66"/>
      <c r="R9" s="66"/>
      <c r="S9" s="66"/>
    </row>
    <row r="10" spans="1:23" ht="27.75" customHeight="1">
      <c r="A10" s="184" t="s">
        <v>147</v>
      </c>
      <c r="B10" s="91">
        <f>B8/B7</f>
        <v>0.6</v>
      </c>
      <c r="C10" s="176"/>
      <c r="D10" s="66"/>
      <c r="E10" s="66"/>
      <c r="F10" s="66"/>
      <c r="G10" s="66"/>
      <c r="H10" s="88" t="s">
        <v>148</v>
      </c>
      <c r="I10" s="158" t="s">
        <v>80</v>
      </c>
      <c r="J10" s="159"/>
      <c r="K10" s="107"/>
      <c r="L10" s="88" t="s">
        <v>149</v>
      </c>
      <c r="M10" s="165"/>
      <c r="N10" s="159"/>
      <c r="O10" s="77"/>
      <c r="P10" s="77"/>
      <c r="Q10" s="77"/>
      <c r="R10" s="77"/>
      <c r="S10" s="66"/>
    </row>
    <row r="11" spans="1:23" ht="39.75" customHeight="1">
      <c r="A11" s="185" t="s">
        <v>150</v>
      </c>
      <c r="B11" s="91">
        <f>B9/B7</f>
        <v>0.4</v>
      </c>
      <c r="C11" s="176"/>
      <c r="D11" s="66"/>
      <c r="E11" s="66"/>
      <c r="F11" s="66"/>
      <c r="G11" s="66"/>
      <c r="H11" s="88" t="s">
        <v>151</v>
      </c>
      <c r="I11" s="158" t="s">
        <v>82</v>
      </c>
      <c r="J11" s="159"/>
      <c r="K11" s="107"/>
      <c r="L11" s="88" t="s">
        <v>152</v>
      </c>
      <c r="M11" s="165"/>
      <c r="N11" s="159"/>
      <c r="O11" s="66"/>
      <c r="P11" s="66"/>
      <c r="Q11" s="66"/>
      <c r="R11" s="66"/>
      <c r="S11" s="66"/>
    </row>
    <row r="12" spans="1:23" ht="42.4" customHeight="1">
      <c r="A12" s="185" t="s">
        <v>153</v>
      </c>
      <c r="B12" s="148">
        <v>0</v>
      </c>
      <c r="C12" s="177"/>
      <c r="D12" s="66"/>
      <c r="E12" s="66"/>
      <c r="F12" s="66"/>
      <c r="G12" s="66"/>
      <c r="H12" s="109" t="s">
        <v>154</v>
      </c>
      <c r="I12" s="154" t="s">
        <v>64</v>
      </c>
      <c r="J12" s="160"/>
      <c r="K12" s="107"/>
      <c r="L12" s="209" t="s">
        <v>155</v>
      </c>
      <c r="M12" s="210"/>
      <c r="N12" s="166">
        <v>0.7</v>
      </c>
      <c r="O12" s="66"/>
      <c r="P12" s="66"/>
      <c r="Q12" s="66"/>
      <c r="R12" s="66"/>
      <c r="S12" s="66"/>
    </row>
    <row r="13" spans="1:23" ht="28.5" customHeight="1">
      <c r="A13" s="183" t="s">
        <v>156</v>
      </c>
      <c r="B13" s="149">
        <v>10</v>
      </c>
      <c r="C13" s="175" t="s">
        <v>157</v>
      </c>
      <c r="D13" s="66"/>
      <c r="E13" s="66"/>
      <c r="F13" s="66"/>
      <c r="G13" s="66"/>
      <c r="H13" s="161"/>
      <c r="I13" s="162" t="s">
        <v>158</v>
      </c>
      <c r="J13" s="162" t="str">
        <f>IF(SUM($J$7:$J$9)=1,"OK","MAKE SURE CELLS J6 TO J8 ADD UP TO 100%")</f>
        <v>MAKE SURE CELLS J6 TO J8 ADD UP TO 100%</v>
      </c>
      <c r="K13" s="161"/>
      <c r="L13" s="163"/>
      <c r="M13" s="162" t="s">
        <v>158</v>
      </c>
      <c r="N13" s="162" t="str">
        <f>IF(SUM($N$7:$N$11)=1,"OK","MAKE SURE CELLS J6 TO J8 ADD UP TO 100%")</f>
        <v>OK</v>
      </c>
      <c r="O13" s="79"/>
      <c r="P13" s="79"/>
      <c r="Q13" s="66"/>
      <c r="R13" s="66"/>
      <c r="S13" s="66"/>
    </row>
    <row r="14" spans="1:23" ht="27" customHeight="1">
      <c r="A14" s="183" t="s">
        <v>159</v>
      </c>
      <c r="B14" s="149">
        <v>20</v>
      </c>
      <c r="C14" s="175" t="s">
        <v>157</v>
      </c>
      <c r="D14" s="66"/>
      <c r="E14" s="66"/>
      <c r="F14" s="66"/>
      <c r="G14" s="66"/>
      <c r="H14" s="161"/>
      <c r="I14" s="162" t="s">
        <v>158</v>
      </c>
      <c r="J14" s="162" t="str">
        <f>IF(SUM($J$10:$J$12)=1,"OK","MAKE SURE CELLS J9 TO J11 ADD UP TO 100%")</f>
        <v>MAKE SURE CELLS J9 TO J11 ADD UP TO 100%</v>
      </c>
      <c r="K14" s="161"/>
      <c r="L14" s="164"/>
      <c r="M14" s="164"/>
      <c r="N14" s="164"/>
      <c r="Q14" s="66"/>
      <c r="R14" s="66"/>
      <c r="S14" s="66"/>
    </row>
    <row r="15" spans="1:23" ht="39" customHeight="1">
      <c r="A15" s="183" t="s">
        <v>160</v>
      </c>
      <c r="B15" s="149">
        <v>5</v>
      </c>
      <c r="C15" s="178" t="s">
        <v>157</v>
      </c>
      <c r="D15" s="66"/>
      <c r="E15" s="66"/>
      <c r="F15" s="66"/>
      <c r="G15" s="66"/>
      <c r="H15" s="200" t="s">
        <v>161</v>
      </c>
      <c r="I15" s="201"/>
      <c r="J15" s="201"/>
      <c r="K15" s="201"/>
      <c r="L15" s="202"/>
      <c r="M15" s="110"/>
      <c r="N15" s="110"/>
      <c r="Q15" s="66"/>
      <c r="R15" s="66"/>
      <c r="S15" s="66"/>
    </row>
    <row r="16" spans="1:23" ht="32.25" customHeight="1">
      <c r="A16" s="186" t="s">
        <v>162</v>
      </c>
      <c r="B16" s="149">
        <v>10</v>
      </c>
      <c r="C16" s="178" t="s">
        <v>157</v>
      </c>
      <c r="D16" s="66"/>
      <c r="E16" s="66"/>
      <c r="F16" s="66"/>
      <c r="G16" s="66"/>
      <c r="H16" s="72" t="s">
        <v>163</v>
      </c>
      <c r="I16" s="81" t="s">
        <v>164</v>
      </c>
      <c r="J16" s="114" t="s">
        <v>165</v>
      </c>
      <c r="K16" s="104"/>
      <c r="L16" s="105"/>
      <c r="M16" s="110"/>
      <c r="N16" s="110"/>
      <c r="Q16" s="82"/>
      <c r="R16" s="82"/>
      <c r="S16" s="82"/>
      <c r="T16" s="18"/>
      <c r="U16" s="18"/>
      <c r="V16" s="18"/>
      <c r="W16" s="18"/>
    </row>
    <row r="17" spans="1:19" ht="27.75">
      <c r="A17" s="186" t="s">
        <v>166</v>
      </c>
      <c r="B17" s="149">
        <v>5</v>
      </c>
      <c r="C17" s="178" t="s">
        <v>167</v>
      </c>
      <c r="D17" s="83"/>
      <c r="E17" s="66"/>
      <c r="F17" s="66"/>
      <c r="G17" s="66"/>
      <c r="H17" s="88" t="s">
        <v>66</v>
      </c>
      <c r="I17" s="115">
        <f>INDEX('Kerosene emissions inputs'!$C$12:$C$66,MATCH(Inputs!$B$4,'Kerosene emissions inputs'!$B$12:$B$66,0))*'Kerosene emissions inputs'!O5</f>
        <v>213.50883049999999</v>
      </c>
      <c r="J17" s="111" t="s">
        <v>168</v>
      </c>
      <c r="K17" s="211" t="s">
        <v>169</v>
      </c>
      <c r="L17" s="212"/>
      <c r="M17" s="110"/>
      <c r="N17" s="110"/>
      <c r="Q17" s="66"/>
      <c r="R17" s="66"/>
      <c r="S17" s="66"/>
    </row>
    <row r="18" spans="1:19" ht="27.75">
      <c r="A18" s="187" t="s">
        <v>170</v>
      </c>
      <c r="B18" s="150">
        <v>20</v>
      </c>
      <c r="C18" s="179" t="s">
        <v>167</v>
      </c>
      <c r="D18" s="66"/>
      <c r="E18" s="66"/>
      <c r="F18" s="66"/>
      <c r="G18" s="66"/>
      <c r="H18" s="88" t="s">
        <v>69</v>
      </c>
      <c r="I18" s="115">
        <f>INDEX('Kerosene emissions inputs'!$C$12:$C$66,MATCH(Inputs!$B$4,'Kerosene emissions inputs'!$B$12:$B$66,0))*'Kerosene emissions inputs'!J4</f>
        <v>439.29647999999997</v>
      </c>
      <c r="J18" s="111" t="s">
        <v>168</v>
      </c>
      <c r="K18" s="211"/>
      <c r="L18" s="212"/>
      <c r="M18" s="110"/>
      <c r="N18" s="110"/>
      <c r="Q18" s="66"/>
      <c r="R18" s="66"/>
      <c r="S18" s="66"/>
    </row>
    <row r="19" spans="1:19" ht="33" customHeight="1">
      <c r="D19" s="66"/>
      <c r="E19" s="66"/>
      <c r="F19" s="66"/>
      <c r="G19" s="66"/>
      <c r="H19" s="88" t="s">
        <v>171</v>
      </c>
      <c r="I19" s="115">
        <f>INDEX('Kerosene emissions inputs'!$C$12:$C$66,MATCH(Inputs!$B$4,'Kerosene emissions inputs'!$B$12:$B$66,0))*'Kerosene emissions inputs'!J2</f>
        <v>38.996454</v>
      </c>
      <c r="J19" s="111" t="s">
        <v>168</v>
      </c>
      <c r="K19" s="211"/>
      <c r="L19" s="212"/>
      <c r="M19" s="110"/>
      <c r="N19" s="110"/>
      <c r="Q19" s="66"/>
      <c r="R19" s="66"/>
      <c r="S19" s="66"/>
    </row>
    <row r="20" spans="1:19" ht="30.75" customHeight="1">
      <c r="A20" s="208" t="s">
        <v>172</v>
      </c>
      <c r="B20" s="208"/>
      <c r="C20" s="208"/>
      <c r="D20" s="66"/>
      <c r="E20" s="66"/>
      <c r="F20" s="66"/>
      <c r="G20" s="66"/>
      <c r="H20" s="88" t="s">
        <v>73</v>
      </c>
      <c r="I20" s="115">
        <f>INDEX('Kerosene emissions inputs'!$C$12:$C$66,MATCH(Inputs!$B$4,'Kerosene emissions inputs'!$B$12:$B$66,0))*'Kerosene emissions inputs'!J3</f>
        <v>24.272500000000001</v>
      </c>
      <c r="J20" s="111" t="s">
        <v>168</v>
      </c>
      <c r="K20" s="211"/>
      <c r="L20" s="212"/>
      <c r="M20" s="110"/>
      <c r="N20" s="110"/>
      <c r="Q20" s="66"/>
      <c r="R20" s="66"/>
      <c r="S20" s="66"/>
    </row>
    <row r="21" spans="1:19" ht="39" customHeight="1">
      <c r="A21" s="68"/>
      <c r="B21" s="67" t="s">
        <v>48</v>
      </c>
      <c r="C21" s="70" t="s">
        <v>173</v>
      </c>
      <c r="D21" s="66"/>
      <c r="E21" s="66"/>
      <c r="F21" s="66"/>
      <c r="G21" s="66"/>
      <c r="H21" s="88" t="s">
        <v>75</v>
      </c>
      <c r="I21" s="116">
        <f>(5.5/1000)*'Kerosene emissions inputs'!D2*365</f>
        <v>7.0262500000000001</v>
      </c>
      <c r="J21" s="111" t="s">
        <v>168</v>
      </c>
      <c r="K21" s="198" t="s">
        <v>174</v>
      </c>
      <c r="L21" s="199"/>
      <c r="M21" s="110"/>
      <c r="N21" s="110"/>
      <c r="Q21" s="66"/>
      <c r="R21" s="66"/>
      <c r="S21" s="66"/>
    </row>
    <row r="22" spans="1:19" ht="27.75">
      <c r="A22" s="88" t="s">
        <v>49</v>
      </c>
      <c r="B22" s="151" t="s">
        <v>64</v>
      </c>
      <c r="C22" s="152">
        <v>0.6</v>
      </c>
      <c r="D22" s="66"/>
      <c r="E22" s="66"/>
      <c r="F22" s="66"/>
      <c r="G22" s="66"/>
      <c r="H22" s="88" t="s">
        <v>77</v>
      </c>
      <c r="I22" s="167"/>
      <c r="J22" s="111" t="s">
        <v>168</v>
      </c>
      <c r="K22" s="203"/>
      <c r="L22" s="204"/>
      <c r="M22" s="110"/>
      <c r="N22" s="110"/>
      <c r="Q22" s="66"/>
      <c r="R22" s="66"/>
      <c r="S22" s="66"/>
    </row>
    <row r="23" spans="1:19" ht="18.75" customHeight="1">
      <c r="A23" s="78" t="s">
        <v>50</v>
      </c>
      <c r="B23" s="155" t="s">
        <v>67</v>
      </c>
      <c r="C23" s="153">
        <v>0.4</v>
      </c>
      <c r="D23" s="66"/>
      <c r="E23" s="66"/>
      <c r="F23" s="66"/>
      <c r="G23" s="66"/>
      <c r="H23" s="88" t="s">
        <v>64</v>
      </c>
      <c r="I23" s="168">
        <v>0</v>
      </c>
      <c r="J23" s="111" t="s">
        <v>175</v>
      </c>
      <c r="K23" s="203"/>
      <c r="L23" s="204"/>
      <c r="M23" s="110"/>
      <c r="N23" s="110"/>
      <c r="Q23" s="66"/>
      <c r="R23" s="66"/>
      <c r="S23" s="66"/>
    </row>
    <row r="24" spans="1:19" ht="29.25" customHeight="1">
      <c r="A24" s="63" t="s">
        <v>158</v>
      </c>
      <c r="B24" s="89" t="str">
        <f>IF(SUM($C$22:$C$23)=1,"OK","MAKE SURE CELLS J17 TO J18 ADD UP TO 100%")</f>
        <v>OK</v>
      </c>
      <c r="C24" s="66"/>
      <c r="D24" s="66"/>
      <c r="E24" s="66"/>
      <c r="F24" s="66"/>
      <c r="G24" s="66"/>
      <c r="H24" s="88" t="s">
        <v>80</v>
      </c>
      <c r="I24" s="115">
        <v>1.2516428571428573</v>
      </c>
      <c r="J24" s="111" t="s">
        <v>175</v>
      </c>
      <c r="K24" s="198" t="s">
        <v>174</v>
      </c>
      <c r="L24" s="199"/>
      <c r="M24" s="110"/>
      <c r="N24" s="110"/>
      <c r="Q24" s="66"/>
      <c r="R24" s="66"/>
      <c r="S24" s="66"/>
    </row>
    <row r="25" spans="1:19" ht="27.75">
      <c r="A25" s="66"/>
      <c r="B25" s="66"/>
      <c r="C25" s="66"/>
      <c r="D25" s="66"/>
      <c r="E25" s="66"/>
      <c r="F25" s="66"/>
      <c r="G25" s="66"/>
      <c r="H25" s="88" t="s">
        <v>82</v>
      </c>
      <c r="I25" s="112">
        <f>INDEX('Diesel genset emissions inputs'!$C$3:$C$57,MATCH(Inputs!$B$4,'Diesel genset emissions inputs'!$B$3:$B$57,0))</f>
        <v>1</v>
      </c>
      <c r="J25" s="111" t="s">
        <v>175</v>
      </c>
      <c r="K25" s="198"/>
      <c r="L25" s="199"/>
      <c r="M25" s="110"/>
      <c r="N25" s="110"/>
      <c r="Q25" s="66"/>
      <c r="R25" s="66"/>
      <c r="S25" s="66"/>
    </row>
    <row r="26" spans="1:19" ht="15" customHeight="1">
      <c r="A26" s="200" t="s">
        <v>176</v>
      </c>
      <c r="B26" s="201"/>
      <c r="C26" s="202"/>
      <c r="D26" s="86"/>
      <c r="E26" s="86"/>
      <c r="F26" s="86"/>
      <c r="G26" s="66"/>
      <c r="H26" s="78" t="s">
        <v>84</v>
      </c>
      <c r="I26" s="169"/>
      <c r="J26" s="106" t="s">
        <v>175</v>
      </c>
      <c r="K26" s="205"/>
      <c r="L26" s="206"/>
      <c r="Q26" s="66"/>
      <c r="R26" s="66"/>
      <c r="S26" s="66"/>
    </row>
    <row r="27" spans="1:19" ht="15" customHeight="1">
      <c r="A27" s="75" t="s">
        <v>67</v>
      </c>
      <c r="B27" s="156">
        <v>0.8</v>
      </c>
      <c r="C27" s="74" t="s">
        <v>175</v>
      </c>
      <c r="D27" s="80"/>
      <c r="E27" s="80"/>
      <c r="F27" s="80"/>
      <c r="G27" s="66"/>
      <c r="H27" s="66"/>
      <c r="I27" s="66"/>
      <c r="J27" s="66"/>
      <c r="K27" s="66"/>
      <c r="Q27" s="66"/>
      <c r="R27" s="66"/>
      <c r="S27" s="66"/>
    </row>
    <row r="28" spans="1:19" ht="15" customHeight="1">
      <c r="A28" s="78" t="s">
        <v>177</v>
      </c>
      <c r="B28" s="157">
        <v>0</v>
      </c>
      <c r="C28" s="84" t="s">
        <v>175</v>
      </c>
      <c r="D28" s="80"/>
      <c r="E28" s="80"/>
      <c r="F28" s="80"/>
      <c r="G28" s="66"/>
      <c r="H28" s="66"/>
      <c r="I28" s="66"/>
      <c r="J28" s="66"/>
      <c r="K28" s="66"/>
      <c r="Q28" s="66"/>
      <c r="R28" s="66"/>
      <c r="S28" s="66"/>
    </row>
    <row r="29" spans="1:19">
      <c r="D29" s="83"/>
      <c r="E29" s="83"/>
      <c r="F29" s="83"/>
      <c r="G29" s="66"/>
      <c r="H29" s="66"/>
      <c r="I29" s="66"/>
      <c r="J29" s="66"/>
      <c r="K29" s="66"/>
      <c r="Q29" s="66"/>
      <c r="R29" s="66"/>
      <c r="S29" s="66"/>
    </row>
    <row r="30" spans="1:19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Q30" s="66"/>
      <c r="R30" s="66"/>
      <c r="S30" s="66"/>
    </row>
    <row r="31" spans="1:19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</row>
    <row r="32" spans="1:19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</row>
    <row r="33" spans="1:19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</row>
  </sheetData>
  <sheetProtection algorithmName="SHA-512" hashValue="EyKI/+WbaLqE5ezrDuJgdNcNvuQMt6zjBoTxMWo7hUYXJvUsNOxZF3c/nW0DQKYDyDNhFRuNZwzqWB2gqVw2aA==" saltValue="oCx05rsz5iXTk5mm5lACeg==" spinCount="100000" sheet="1" objects="1" scenarios="1"/>
  <protectedRanges>
    <protectedRange algorithmName="SHA-512" hashValue="62HsIxdpFgqn1zvN+vPblwhn9Q8PE8ez0F1yHXIjvfAw04tnq1ussCSVDEIO+xP12aN9lVIZeB3er1TBWQ7NaA==" saltValue="i3G244ALP1LdarcgdpMgcA==" spinCount="100000" sqref="A31:XFD1048576 J26:L26 H26 H22 A22:A23 K12:M12 O7:XFD12 K7:L11 C7:H12 C6:XFD6 A6:A18 A5:XFD5 C4:XFD4 A4 A20:C21 H15:L21 Q13:XFD30 A19:G19 C13:G18 H13:K14 A30:C30 H23:L24 H25:J25 D20:G30 A24:C28 H27:K30 L13:P13 J22:L22" name="Inputs"/>
  </protectedRanges>
  <mergeCells count="12">
    <mergeCell ref="K21:L21"/>
    <mergeCell ref="H15:L15"/>
    <mergeCell ref="H2:N2"/>
    <mergeCell ref="A20:C20"/>
    <mergeCell ref="L12:M12"/>
    <mergeCell ref="H4:N4"/>
    <mergeCell ref="K17:L20"/>
    <mergeCell ref="K24:L25"/>
    <mergeCell ref="A26:C26"/>
    <mergeCell ref="K22:L22"/>
    <mergeCell ref="K23:L23"/>
    <mergeCell ref="K26:L26"/>
  </mergeCells>
  <conditionalFormatting sqref="J14">
    <cfRule type="containsText" dxfId="7" priority="11" operator="containsText" text="MAKE SURE ">
      <formula>NOT(ISERROR(SEARCH("MAKE SURE ",J14)))</formula>
    </cfRule>
    <cfRule type="containsText" dxfId="6" priority="12" operator="containsText" text="OK">
      <formula>NOT(ISERROR(SEARCH("OK",J14)))</formula>
    </cfRule>
  </conditionalFormatting>
  <conditionalFormatting sqref="J13">
    <cfRule type="containsText" dxfId="5" priority="5" operator="containsText" text="MAKE SURE ">
      <formula>NOT(ISERROR(SEARCH("MAKE SURE ",J13)))</formula>
    </cfRule>
    <cfRule type="containsText" dxfId="4" priority="6" operator="containsText" text="OK">
      <formula>NOT(ISERROR(SEARCH("OK",J13)))</formula>
    </cfRule>
  </conditionalFormatting>
  <conditionalFormatting sqref="N13">
    <cfRule type="containsText" dxfId="3" priority="3" operator="containsText" text="MAKE SURE ">
      <formula>NOT(ISERROR(SEARCH("MAKE SURE ",N13)))</formula>
    </cfRule>
    <cfRule type="containsText" dxfId="2" priority="4" operator="containsText" text="OK">
      <formula>NOT(ISERROR(SEARCH("OK",N13)))</formula>
    </cfRule>
  </conditionalFormatting>
  <conditionalFormatting sqref="B24">
    <cfRule type="containsText" dxfId="1" priority="1" operator="containsText" text="MAKE SURE ">
      <formula>NOT(ISERROR(SEARCH("MAKE SURE ",B24)))</formula>
    </cfRule>
    <cfRule type="containsText" dxfId="0" priority="2" operator="containsText" text="OK">
      <formula>NOT(ISERROR(SEARCH("OK",B24)))</formula>
    </cfRule>
  </conditionalFormatting>
  <pageMargins left="0.7" right="0.7" top="0.75" bottom="0.75" header="0.3" footer="0.3"/>
  <pageSetup paperSize="9" orientation="portrait" horizontalDpi="360" verticalDpi="360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15A4813-C90F-491D-9729-B6DB2EC088CC}">
          <x14:formula1>
            <xm:f>Lists!$B$2:$B$4</xm:f>
          </x14:formula1>
          <xm:sqref>B3</xm:sqref>
        </x14:dataValidation>
        <x14:dataValidation type="list" allowBlank="1" showInputMessage="1" showErrorMessage="1" xr:uid="{DF301449-9AF9-4EE7-81C8-1CA7A88351CD}">
          <x14:formula1>
            <xm:f>Lists!$M$2:$M$3</xm:f>
          </x14:formula1>
          <xm:sqref>B22:B23</xm:sqref>
        </x14:dataValidation>
        <x14:dataValidation type="list" allowBlank="1" showInputMessage="1" showErrorMessage="1" xr:uid="{46B91AE5-AD70-470A-A9F6-B85FAC23D117}">
          <x14:formula1>
            <xm:f>Lists!$E$2:$E$54</xm:f>
          </x14:formula1>
          <xm:sqref>B4</xm:sqref>
        </x14:dataValidation>
        <x14:dataValidation type="list" allowBlank="1" showInputMessage="1" showErrorMessage="1" xr:uid="{7FD48141-6D1D-41CE-AFEE-38D8B8391DF6}">
          <x14:formula1>
            <xm:f>Lists!$H$2:$H$12</xm:f>
          </x14:formula1>
          <xm:sqref>M7:M11 I7:I12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5BD97-EE05-48D2-9E2C-3BFBFF5F0465}">
  <dimension ref="A2:X64"/>
  <sheetViews>
    <sheetView zoomScale="60" zoomScaleNormal="60" workbookViewId="0">
      <pane xSplit="3" ySplit="8" topLeftCell="D55" activePane="bottomRight" state="frozen"/>
      <selection pane="bottomRight" activeCell="B60" sqref="B60"/>
      <selection pane="bottomLeft" activeCell="A9" sqref="A9"/>
      <selection pane="topRight" activeCell="D1" sqref="D1"/>
    </sheetView>
  </sheetViews>
  <sheetFormatPr defaultRowHeight="15"/>
  <cols>
    <col min="1" max="1" width="67.7109375" customWidth="1"/>
    <col min="2" max="2" width="36" customWidth="1"/>
    <col min="3" max="3" width="20.28515625" customWidth="1"/>
    <col min="4" max="4" width="33.7109375" customWidth="1"/>
    <col min="5" max="5" width="16" customWidth="1"/>
    <col min="6" max="6" width="17.140625" customWidth="1"/>
    <col min="7" max="7" width="19.7109375" bestFit="1" customWidth="1"/>
    <col min="8" max="8" width="20.140625" bestFit="1" customWidth="1"/>
    <col min="9" max="24" width="19.28515625" bestFit="1" customWidth="1"/>
  </cols>
  <sheetData>
    <row r="2" spans="1:24">
      <c r="C2" s="25" t="s">
        <v>178</v>
      </c>
      <c r="D2" s="25" t="s">
        <v>179</v>
      </c>
    </row>
    <row r="3" spans="1:24">
      <c r="B3" t="s">
        <v>180</v>
      </c>
      <c r="C3">
        <f>(Inputs!B14-Inputs!B13)/LN(Inputs!B17)</f>
        <v>6.2133493455961188</v>
      </c>
      <c r="D3">
        <f>Inputs!B13</f>
        <v>10</v>
      </c>
      <c r="F3" s="2"/>
    </row>
    <row r="4" spans="1:24">
      <c r="B4" t="s">
        <v>181</v>
      </c>
      <c r="C4">
        <f>(Inputs!B16-Inputs!B15)/LN(Inputs!B17)</f>
        <v>3.1066746727980594</v>
      </c>
      <c r="D4" s="19">
        <f>Inputs!B15</f>
        <v>5</v>
      </c>
    </row>
    <row r="5" spans="1:24">
      <c r="A5" t="s">
        <v>182</v>
      </c>
      <c r="B5" s="14" t="s">
        <v>183</v>
      </c>
      <c r="C5" s="11"/>
      <c r="D5" s="11"/>
    </row>
    <row r="6" spans="1:24">
      <c r="A6" t="s">
        <v>184</v>
      </c>
      <c r="B6">
        <v>12</v>
      </c>
      <c r="C6" s="11"/>
      <c r="D6" s="11"/>
    </row>
    <row r="7" spans="1:24">
      <c r="B7" s="15"/>
      <c r="D7" t="s">
        <v>185</v>
      </c>
      <c r="E7" s="12">
        <v>1</v>
      </c>
      <c r="F7" s="12">
        <v>2</v>
      </c>
      <c r="G7" s="12">
        <v>3</v>
      </c>
      <c r="H7" s="12">
        <v>4</v>
      </c>
      <c r="I7" s="12">
        <v>5</v>
      </c>
      <c r="J7" s="12">
        <v>6</v>
      </c>
      <c r="K7" s="12">
        <v>7</v>
      </c>
      <c r="L7" s="12">
        <v>8</v>
      </c>
      <c r="M7" s="12">
        <v>9</v>
      </c>
      <c r="N7" s="12">
        <v>10</v>
      </c>
      <c r="O7" s="12">
        <v>11</v>
      </c>
      <c r="P7" s="12">
        <v>12</v>
      </c>
      <c r="Q7" s="12">
        <v>13</v>
      </c>
      <c r="R7" s="12">
        <v>14</v>
      </c>
      <c r="S7" s="12">
        <v>15</v>
      </c>
      <c r="T7" s="12">
        <v>16</v>
      </c>
      <c r="U7" s="12">
        <v>17</v>
      </c>
      <c r="V7" s="12">
        <v>18</v>
      </c>
      <c r="W7" s="12">
        <v>19</v>
      </c>
      <c r="X7" s="12">
        <v>20</v>
      </c>
    </row>
    <row r="8" spans="1:24">
      <c r="A8" s="13" t="s">
        <v>36</v>
      </c>
      <c r="B8" s="35"/>
      <c r="C8" s="34"/>
      <c r="D8" s="34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4" s="25" customFormat="1">
      <c r="A9" t="s">
        <v>186</v>
      </c>
      <c r="B9" s="24"/>
      <c r="C9" s="64">
        <f>MAX(E9:X9)</f>
        <v>10000</v>
      </c>
      <c r="E9" s="44">
        <f>Inputs!B7</f>
        <v>10000</v>
      </c>
      <c r="F9" s="44">
        <f>E9*(1+Inputs!$B$12)</f>
        <v>10000</v>
      </c>
      <c r="G9" s="44">
        <f>F9*(1+Inputs!$B$12)</f>
        <v>10000</v>
      </c>
      <c r="H9" s="44">
        <f>G9*(1+Inputs!$B$12)</f>
        <v>10000</v>
      </c>
      <c r="I9" s="44">
        <f>H9*(1+Inputs!$B$12)</f>
        <v>10000</v>
      </c>
      <c r="J9" s="44">
        <f>I9*(1+Inputs!$B$12)</f>
        <v>10000</v>
      </c>
      <c r="K9" s="44">
        <f>J9*(1+Inputs!$B$12)</f>
        <v>10000</v>
      </c>
      <c r="L9" s="44">
        <f>K9*(1+Inputs!$B$12)</f>
        <v>10000</v>
      </c>
      <c r="M9" s="44">
        <f>L9*(1+Inputs!$B$12)</f>
        <v>10000</v>
      </c>
      <c r="N9" s="44">
        <f>M9*(1+Inputs!$B$12)</f>
        <v>10000</v>
      </c>
      <c r="O9" s="44">
        <f>N9*(1+Inputs!$B$12)</f>
        <v>10000</v>
      </c>
      <c r="P9" s="44">
        <f>O9*(1+Inputs!$B$12)</f>
        <v>10000</v>
      </c>
      <c r="Q9" s="44">
        <f>P9*(1+Inputs!$B$12)</f>
        <v>10000</v>
      </c>
      <c r="R9" s="44">
        <f>Q9*(1+Inputs!$B$12)</f>
        <v>10000</v>
      </c>
      <c r="S9" s="44">
        <f>R9*(1+Inputs!$B$12)</f>
        <v>10000</v>
      </c>
      <c r="T9" s="44">
        <f>S9*(1+Inputs!$B$12)</f>
        <v>10000</v>
      </c>
      <c r="U9" s="44">
        <f>T9*(1+Inputs!$B$12)</f>
        <v>10000</v>
      </c>
      <c r="V9" s="44">
        <f>U9*(1+Inputs!$B$12)</f>
        <v>10000</v>
      </c>
      <c r="W9" s="44">
        <f>V9*(1+Inputs!$B$12)</f>
        <v>10000</v>
      </c>
      <c r="X9" s="44">
        <f>W9*(1+Inputs!$B$12)</f>
        <v>10000</v>
      </c>
    </row>
    <row r="10" spans="1:24" s="25" customFormat="1">
      <c r="A10" t="s">
        <v>141</v>
      </c>
      <c r="B10" s="24"/>
      <c r="C10" s="64">
        <f>MAX(E10:X10)</f>
        <v>6000</v>
      </c>
      <c r="E10" s="44">
        <f>Inputs!B8</f>
        <v>6000</v>
      </c>
      <c r="F10" s="44">
        <f>ROUNDDOWN(E10*(1+Inputs!$B$12),0)</f>
        <v>6000</v>
      </c>
      <c r="G10" s="44">
        <f>ROUNDDOWN(F10*(1+Inputs!$B$12),0)</f>
        <v>6000</v>
      </c>
      <c r="H10" s="44">
        <f>ROUNDDOWN(G10*(1+Inputs!$B$12),0)</f>
        <v>6000</v>
      </c>
      <c r="I10" s="44">
        <f>ROUNDDOWN(H10*(1+Inputs!$B$12),0)</f>
        <v>6000</v>
      </c>
      <c r="J10" s="44">
        <f>ROUNDDOWN(I10*(1+Inputs!$B$12),0)</f>
        <v>6000</v>
      </c>
      <c r="K10" s="44">
        <f>ROUNDDOWN(J10*(1+Inputs!$B$12),0)</f>
        <v>6000</v>
      </c>
      <c r="L10" s="44">
        <f>ROUNDDOWN(K10*(1+Inputs!$B$12),0)</f>
        <v>6000</v>
      </c>
      <c r="M10" s="44">
        <f>ROUNDDOWN(L10*(1+Inputs!$B$12),0)</f>
        <v>6000</v>
      </c>
      <c r="N10" s="44">
        <f>ROUNDDOWN(M10*(1+Inputs!$B$12),0)</f>
        <v>6000</v>
      </c>
      <c r="O10" s="44">
        <f>ROUNDDOWN(N10*(1+Inputs!$B$12),0)</f>
        <v>6000</v>
      </c>
      <c r="P10" s="44">
        <f>ROUNDDOWN(O10*(1+Inputs!$B$12),0)</f>
        <v>6000</v>
      </c>
      <c r="Q10" s="44">
        <f>ROUNDDOWN(P10*(1+Inputs!$B$12),0)</f>
        <v>6000</v>
      </c>
      <c r="R10" s="44">
        <f>ROUNDDOWN(Q10*(1+Inputs!$B$12),0)</f>
        <v>6000</v>
      </c>
      <c r="S10" s="44">
        <f>ROUNDDOWN(R10*(1+Inputs!$B$12),0)</f>
        <v>6000</v>
      </c>
      <c r="T10" s="44">
        <f>ROUNDDOWN(S10*(1+Inputs!$B$12),0)</f>
        <v>6000</v>
      </c>
      <c r="U10" s="44">
        <f>ROUNDDOWN(T10*(1+Inputs!$B$12),0)</f>
        <v>6000</v>
      </c>
      <c r="V10" s="44">
        <f>ROUNDDOWN(U10*(1+Inputs!$B$12),0)</f>
        <v>6000</v>
      </c>
      <c r="W10" s="44">
        <f>ROUNDDOWN(V10*(1+Inputs!$B$12),0)</f>
        <v>6000</v>
      </c>
      <c r="X10" s="44">
        <f>ROUNDDOWN(W10*(1+Inputs!$B$12),0)</f>
        <v>6000</v>
      </c>
    </row>
    <row r="11" spans="1:24" s="25" customFormat="1">
      <c r="A11" t="s">
        <v>144</v>
      </c>
      <c r="B11" s="24"/>
      <c r="C11" s="64">
        <f>MAX(E11:X11)</f>
        <v>4000</v>
      </c>
      <c r="E11" s="44">
        <f>Inputs!B9</f>
        <v>4000</v>
      </c>
      <c r="F11" s="44">
        <f>ROUNDDOWN(E11*(1+Inputs!$B$12),0)</f>
        <v>4000</v>
      </c>
      <c r="G11" s="44">
        <f>ROUNDDOWN(F11*(1+Inputs!$B$12),0)</f>
        <v>4000</v>
      </c>
      <c r="H11" s="44">
        <f>ROUNDDOWN(G11*(1+Inputs!$B$12),0)</f>
        <v>4000</v>
      </c>
      <c r="I11" s="44">
        <f>ROUNDDOWN(H11*(1+Inputs!$B$12),0)</f>
        <v>4000</v>
      </c>
      <c r="J11" s="44">
        <f>ROUNDDOWN(I11*(1+Inputs!$B$12),0)</f>
        <v>4000</v>
      </c>
      <c r="K11" s="44">
        <f>ROUNDDOWN(J11*(1+Inputs!$B$12),0)</f>
        <v>4000</v>
      </c>
      <c r="L11" s="44">
        <f>ROUNDDOWN(K11*(1+Inputs!$B$12),0)</f>
        <v>4000</v>
      </c>
      <c r="M11" s="44">
        <f>ROUNDDOWN(L11*(1+Inputs!$B$12),0)</f>
        <v>4000</v>
      </c>
      <c r="N11" s="44">
        <f>ROUNDDOWN(M11*(1+Inputs!$B$12),0)</f>
        <v>4000</v>
      </c>
      <c r="O11" s="44">
        <f>ROUNDDOWN(N11*(1+Inputs!$B$12),0)</f>
        <v>4000</v>
      </c>
      <c r="P11" s="44">
        <f>ROUNDDOWN(O11*(1+Inputs!$B$12),0)</f>
        <v>4000</v>
      </c>
      <c r="Q11" s="44">
        <f>ROUNDDOWN(P11*(1+Inputs!$B$12),0)</f>
        <v>4000</v>
      </c>
      <c r="R11" s="44">
        <f>ROUNDDOWN(Q11*(1+Inputs!$B$12),0)</f>
        <v>4000</v>
      </c>
      <c r="S11" s="44">
        <f>ROUNDDOWN(R11*(1+Inputs!$B$12),0)</f>
        <v>4000</v>
      </c>
      <c r="T11" s="44">
        <f>ROUNDDOWN(S11*(1+Inputs!$B$12),0)</f>
        <v>4000</v>
      </c>
      <c r="U11" s="44">
        <f>ROUNDDOWN(T11*(1+Inputs!$B$12),0)</f>
        <v>4000</v>
      </c>
      <c r="V11" s="44">
        <f>ROUNDDOWN(U11*(1+Inputs!$B$12),0)</f>
        <v>4000</v>
      </c>
      <c r="W11" s="44">
        <f>ROUNDDOWN(V11*(1+Inputs!$B$12),0)</f>
        <v>4000</v>
      </c>
      <c r="X11" s="44">
        <f>ROUNDDOWN(W11*(1+Inputs!$B$12),0)</f>
        <v>4000</v>
      </c>
    </row>
    <row r="12" spans="1:24">
      <c r="A12" s="13" t="s">
        <v>187</v>
      </c>
      <c r="B12" s="35"/>
      <c r="C12" s="34"/>
      <c r="D12" s="34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 ht="15.75" thickBot="1">
      <c r="A13" t="s">
        <v>188</v>
      </c>
      <c r="B13" s="14" t="s">
        <v>189</v>
      </c>
      <c r="E13" s="1">
        <f>Inputs!B13</f>
        <v>10</v>
      </c>
      <c r="F13" s="1">
        <f>IF(F7&lt;=Inputs!$B$17,$C$3*LN(F7)+$D$3,Inputs!$B$14)</f>
        <v>14.306765580733931</v>
      </c>
      <c r="G13" s="1">
        <f>IF(G7&lt;=Inputs!$B$17,$C$3*LN(G7)+$D$3,Inputs!$B$14)</f>
        <v>16.826061944859855</v>
      </c>
      <c r="H13" s="1">
        <f>IF(H7&lt;=Inputs!$B$17,$C$3*LN(H7)+$D$3,Inputs!$B$14)</f>
        <v>18.613531161467861</v>
      </c>
      <c r="I13" s="1">
        <f>IF(I7&lt;=Inputs!$B$17,$C$3*LN(I7)+$D$3,Inputs!$B$14)</f>
        <v>20</v>
      </c>
      <c r="J13" s="1">
        <f>IF(J7&lt;=Inputs!$B$17,$C$3*LN(J7)+$D$3,Inputs!$B$14)</f>
        <v>20</v>
      </c>
      <c r="K13" s="1">
        <f>IF(K7&lt;=Inputs!$B$17,$C$3*LN(K7)+$D$3,Inputs!$B$14)</f>
        <v>20</v>
      </c>
      <c r="L13" s="1">
        <f>IF(L7&lt;=Inputs!$B$17,$C$3*LN(L7)+$D$3,Inputs!$B$14)</f>
        <v>20</v>
      </c>
      <c r="M13" s="1">
        <f>IF(M7&lt;=Inputs!$B$17,$C$3*LN(M7)+$D$3,Inputs!$B$14)</f>
        <v>20</v>
      </c>
      <c r="N13" s="1">
        <f>IF(N7&lt;=Inputs!$B$17,$C$3*LN(N7)+$D$3,Inputs!$B$14)</f>
        <v>20</v>
      </c>
      <c r="O13" s="1">
        <f>IF(O7&lt;=Inputs!$B$17,$C$3*LN(O7)+$D$3,Inputs!$B$14)</f>
        <v>20</v>
      </c>
      <c r="P13" s="1">
        <f>IF(P7&lt;=Inputs!$B$17,$C$3*LN(P7)+$D$3,Inputs!$B$14)</f>
        <v>20</v>
      </c>
      <c r="Q13" s="1">
        <f>IF(Q7&lt;=Inputs!$B$17,$C$3*LN(Q7)+$D$3,Inputs!$B$14)</f>
        <v>20</v>
      </c>
      <c r="R13" s="1">
        <f>IF(R7&lt;=Inputs!$B$17,$C$3*LN(R7)+$D$3,Inputs!$B$14)</f>
        <v>20</v>
      </c>
      <c r="S13" s="1">
        <f>IF(S7&lt;=Inputs!$B$17,$C$3*LN(S7)+$D$3,Inputs!$B$14)</f>
        <v>20</v>
      </c>
      <c r="T13" s="1">
        <f>IF(T7&lt;=Inputs!$B$17,$C$3*LN(T7)+$D$3,Inputs!$B$14)</f>
        <v>20</v>
      </c>
      <c r="U13" s="1">
        <f>IF(U7&lt;=Inputs!$B$17,$C$3*LN(U7)+$D$3,Inputs!$B$14)</f>
        <v>20</v>
      </c>
      <c r="V13" s="1">
        <f>IF(V7&lt;=Inputs!$B$17,$C$3*LN(V7)+$D$3,Inputs!$B$14)</f>
        <v>20</v>
      </c>
      <c r="W13" s="1">
        <f>IF(W7&lt;=Inputs!$B$17,$C$3*LN(W7)+$D$3,Inputs!$B$14)</f>
        <v>20</v>
      </c>
      <c r="X13" s="1">
        <f>IF(X7&lt;=Inputs!$B$17,$C$3*LN(X7)+$D$3,Inputs!$B$14)</f>
        <v>20</v>
      </c>
    </row>
    <row r="14" spans="1:24">
      <c r="A14" t="s">
        <v>190</v>
      </c>
      <c r="B14" s="14" t="s">
        <v>191</v>
      </c>
      <c r="C14" s="17">
        <f>SUM(E14:X14)</f>
        <v>45569563.042447396</v>
      </c>
      <c r="D14" s="16"/>
      <c r="E14" s="1">
        <f>E13*E9*$B$6</f>
        <v>1200000</v>
      </c>
      <c r="F14" s="1">
        <f>F13*F9*$B$6</f>
        <v>1716811.8696880715</v>
      </c>
      <c r="G14" s="1">
        <f t="shared" ref="G14:W14" si="0">G13*G9*$B$6</f>
        <v>2019127.4333831826</v>
      </c>
      <c r="H14" s="1">
        <f t="shared" si="0"/>
        <v>2233623.7393761436</v>
      </c>
      <c r="I14" s="1">
        <f>I13*I9*$B$6</f>
        <v>2400000</v>
      </c>
      <c r="J14" s="1">
        <f t="shared" si="0"/>
        <v>2400000</v>
      </c>
      <c r="K14" s="1">
        <f t="shared" si="0"/>
        <v>2400000</v>
      </c>
      <c r="L14" s="1">
        <f t="shared" si="0"/>
        <v>2400000</v>
      </c>
      <c r="M14" s="1">
        <f t="shared" si="0"/>
        <v>2400000</v>
      </c>
      <c r="N14" s="1">
        <f t="shared" si="0"/>
        <v>2400000</v>
      </c>
      <c r="O14" s="1">
        <f t="shared" si="0"/>
        <v>2400000</v>
      </c>
      <c r="P14" s="1">
        <f>P13*P9*$B$6</f>
        <v>2400000</v>
      </c>
      <c r="Q14" s="1">
        <f t="shared" si="0"/>
        <v>2400000</v>
      </c>
      <c r="R14" s="1">
        <f t="shared" si="0"/>
        <v>2400000</v>
      </c>
      <c r="S14" s="1">
        <f t="shared" si="0"/>
        <v>2400000</v>
      </c>
      <c r="T14" s="1">
        <f t="shared" si="0"/>
        <v>2400000</v>
      </c>
      <c r="U14" s="1">
        <f t="shared" si="0"/>
        <v>2400000</v>
      </c>
      <c r="V14" s="1">
        <f t="shared" si="0"/>
        <v>2400000</v>
      </c>
      <c r="W14" s="1">
        <f t="shared" si="0"/>
        <v>2400000</v>
      </c>
      <c r="X14" s="1">
        <f>X13*Inputs!$B$7*$B$6</f>
        <v>2400000</v>
      </c>
    </row>
    <row r="15" spans="1:24">
      <c r="A15" t="s">
        <v>192</v>
      </c>
      <c r="B15" s="14" t="s">
        <v>193</v>
      </c>
      <c r="C15" s="17">
        <f>SUM(E15:X15)</f>
        <v>189.87317934353081</v>
      </c>
      <c r="E15" s="1">
        <f>Inputs!B15</f>
        <v>5</v>
      </c>
      <c r="F15" s="1">
        <f>IF(F7&lt;=Inputs!$B$17,$C$4*LN(F7)+$D$4,Inputs!$B$16)</f>
        <v>7.1533827903669653</v>
      </c>
      <c r="G15" s="1">
        <f>IF(G7&lt;=Inputs!$B$17,$C$4*LN(G7)+$D$4,Inputs!$B$16)</f>
        <v>8.4130309724299277</v>
      </c>
      <c r="H15" s="1">
        <f>IF(H7&lt;=Inputs!$B$17,$C$4*LN(H7)+$D$4,Inputs!$B$16)</f>
        <v>9.3067655807339307</v>
      </c>
      <c r="I15" s="1">
        <f>IF(I7&lt;=Inputs!$B$17,$C$4*LN(I7)+$D$4,Inputs!$B$16)</f>
        <v>10</v>
      </c>
      <c r="J15" s="1">
        <f>IF(J7&lt;=Inputs!$B$17,$C$4*LN(J7)+$D$4,Inputs!$B$16)</f>
        <v>10</v>
      </c>
      <c r="K15" s="1">
        <f>IF(K7&lt;=Inputs!$B$17,$C$4*LN(K7)+$D$4,Inputs!$B$16)</f>
        <v>10</v>
      </c>
      <c r="L15" s="1">
        <f>IF(L7&lt;=Inputs!$B$17,$C$4*LN(L7)+$D$4,Inputs!$B$16)</f>
        <v>10</v>
      </c>
      <c r="M15" s="1">
        <f>IF(M7&lt;=Inputs!$B$17,$C$4*LN(M7)+$D$4,Inputs!$B$16)</f>
        <v>10</v>
      </c>
      <c r="N15" s="1">
        <f>IF(N7&lt;=Inputs!$B$17,$C$4*LN(N7)+$D$4,Inputs!$B$16)</f>
        <v>10</v>
      </c>
      <c r="O15" s="1">
        <f>IF(O7&lt;=Inputs!$B$17,$C$4*LN(O7)+$D$4,Inputs!$B$16)</f>
        <v>10</v>
      </c>
      <c r="P15" s="1">
        <f>IF(P7&lt;=Inputs!$B$17,$C$4*LN(P7)+$D$4,Inputs!$B$16)</f>
        <v>10</v>
      </c>
      <c r="Q15" s="1">
        <f>IF(Q7&lt;=Inputs!$B$17,$C$4*LN(Q7)+$D$4,Inputs!$B$16)</f>
        <v>10</v>
      </c>
      <c r="R15" s="1">
        <f>IF(R7&lt;=Inputs!$B$17,$C$4*LN(R7)+$D$4,Inputs!$B$16)</f>
        <v>10</v>
      </c>
      <c r="S15" s="1">
        <f>IF(S7&lt;=Inputs!$B$17,$C$4*LN(S7)+$D$4,Inputs!$B$16)</f>
        <v>10</v>
      </c>
      <c r="T15" s="1">
        <f>IF(T7&lt;=Inputs!$B$17,$C$4*LN(T7)+$D$4,Inputs!$B$16)</f>
        <v>10</v>
      </c>
      <c r="U15" s="1">
        <f>IF(U7&lt;=Inputs!$B$17,$C$4*LN(U7)+$D$4,Inputs!$B$16)</f>
        <v>10</v>
      </c>
      <c r="V15" s="1">
        <f>IF(V7&lt;=Inputs!$B$17,$C$4*LN(V7)+$D$4,Inputs!$B$16)</f>
        <v>10</v>
      </c>
      <c r="W15" s="1">
        <f>IF(W7&lt;=Inputs!$B$17,$C$4*LN(W7)+$D$4,Inputs!$B$16)</f>
        <v>10</v>
      </c>
      <c r="X15" s="1">
        <f>IF(X7&lt;=Inputs!$B$17,$C$4*LN(X7)+$D$4,Inputs!$B$16)</f>
        <v>10</v>
      </c>
    </row>
    <row r="16" spans="1:24">
      <c r="A16" t="s">
        <v>194</v>
      </c>
      <c r="B16" s="14" t="s">
        <v>195</v>
      </c>
      <c r="C16" s="17">
        <f>SUM(E16:X16)</f>
        <v>13670868.912734218</v>
      </c>
      <c r="E16" s="1">
        <f>E15*$B$6*E10</f>
        <v>360000</v>
      </c>
      <c r="F16" s="1">
        <f t="shared" ref="F16:X16" si="1">F15*12*F10</f>
        <v>515043.56090642151</v>
      </c>
      <c r="G16" s="1">
        <f t="shared" si="1"/>
        <v>605738.23001495469</v>
      </c>
      <c r="H16" s="1">
        <f t="shared" si="1"/>
        <v>670087.12181284302</v>
      </c>
      <c r="I16" s="1">
        <f t="shared" si="1"/>
        <v>720000</v>
      </c>
      <c r="J16" s="1">
        <f t="shared" si="1"/>
        <v>720000</v>
      </c>
      <c r="K16" s="1">
        <f t="shared" si="1"/>
        <v>720000</v>
      </c>
      <c r="L16" s="1">
        <f t="shared" si="1"/>
        <v>720000</v>
      </c>
      <c r="M16" s="1">
        <f t="shared" si="1"/>
        <v>720000</v>
      </c>
      <c r="N16" s="1">
        <f t="shared" si="1"/>
        <v>720000</v>
      </c>
      <c r="O16" s="1">
        <f t="shared" si="1"/>
        <v>720000</v>
      </c>
      <c r="P16" s="1">
        <f t="shared" si="1"/>
        <v>720000</v>
      </c>
      <c r="Q16" s="1">
        <f t="shared" si="1"/>
        <v>720000</v>
      </c>
      <c r="R16" s="1">
        <f t="shared" si="1"/>
        <v>720000</v>
      </c>
      <c r="S16" s="1">
        <f t="shared" si="1"/>
        <v>720000</v>
      </c>
      <c r="T16" s="1">
        <f t="shared" si="1"/>
        <v>720000</v>
      </c>
      <c r="U16" s="1">
        <f t="shared" si="1"/>
        <v>720000</v>
      </c>
      <c r="V16" s="1">
        <f t="shared" si="1"/>
        <v>720000</v>
      </c>
      <c r="W16" s="1">
        <f t="shared" si="1"/>
        <v>720000</v>
      </c>
      <c r="X16" s="1">
        <f t="shared" si="1"/>
        <v>720000</v>
      </c>
    </row>
    <row r="17" spans="1:24" ht="15.75" thickBot="1">
      <c r="A17" t="s">
        <v>196</v>
      </c>
      <c r="D17" s="2"/>
      <c r="E17" s="45">
        <f>E16/E14</f>
        <v>0.3</v>
      </c>
      <c r="F17" s="45">
        <f t="shared" ref="F17:X17" si="2">F16/F14</f>
        <v>0.30000000000000004</v>
      </c>
      <c r="G17" s="45">
        <f t="shared" si="2"/>
        <v>0.29999999999999993</v>
      </c>
      <c r="H17" s="45">
        <f t="shared" si="2"/>
        <v>0.3</v>
      </c>
      <c r="I17" s="45">
        <f t="shared" si="2"/>
        <v>0.3</v>
      </c>
      <c r="J17" s="45">
        <f t="shared" si="2"/>
        <v>0.3</v>
      </c>
      <c r="K17" s="45">
        <f t="shared" si="2"/>
        <v>0.3</v>
      </c>
      <c r="L17" s="45">
        <f t="shared" si="2"/>
        <v>0.3</v>
      </c>
      <c r="M17" s="45">
        <f t="shared" si="2"/>
        <v>0.3</v>
      </c>
      <c r="N17" s="45">
        <f t="shared" si="2"/>
        <v>0.3</v>
      </c>
      <c r="O17" s="45">
        <f t="shared" si="2"/>
        <v>0.3</v>
      </c>
      <c r="P17" s="45">
        <f t="shared" si="2"/>
        <v>0.3</v>
      </c>
      <c r="Q17" s="45">
        <f t="shared" si="2"/>
        <v>0.3</v>
      </c>
      <c r="R17" s="45">
        <f t="shared" si="2"/>
        <v>0.3</v>
      </c>
      <c r="S17" s="45">
        <f t="shared" si="2"/>
        <v>0.3</v>
      </c>
      <c r="T17" s="45">
        <f t="shared" si="2"/>
        <v>0.3</v>
      </c>
      <c r="U17" s="45">
        <f t="shared" si="2"/>
        <v>0.3</v>
      </c>
      <c r="V17" s="45">
        <f t="shared" si="2"/>
        <v>0.3</v>
      </c>
      <c r="W17" s="45">
        <f t="shared" si="2"/>
        <v>0.3</v>
      </c>
      <c r="X17" s="45">
        <f t="shared" si="2"/>
        <v>0.3</v>
      </c>
    </row>
    <row r="18" spans="1:24" ht="15.75" thickBot="1">
      <c r="A18" t="s">
        <v>197</v>
      </c>
      <c r="B18" s="14" t="s">
        <v>198</v>
      </c>
      <c r="C18" s="17">
        <f>SUM(E18:X18)</f>
        <v>31898694.129713178</v>
      </c>
      <c r="E18" s="1">
        <f>E14-E16</f>
        <v>840000</v>
      </c>
      <c r="F18" s="1">
        <f t="shared" ref="F18:X18" si="3">F14-F16</f>
        <v>1201768.3087816499</v>
      </c>
      <c r="G18" s="1">
        <f t="shared" si="3"/>
        <v>1413389.2033682279</v>
      </c>
      <c r="H18" s="1">
        <f t="shared" si="3"/>
        <v>1563536.6175633005</v>
      </c>
      <c r="I18" s="1">
        <f t="shared" si="3"/>
        <v>1680000</v>
      </c>
      <c r="J18" s="1">
        <f t="shared" si="3"/>
        <v>1680000</v>
      </c>
      <c r="K18" s="1">
        <f t="shared" si="3"/>
        <v>1680000</v>
      </c>
      <c r="L18" s="1">
        <f t="shared" si="3"/>
        <v>1680000</v>
      </c>
      <c r="M18" s="1">
        <f t="shared" si="3"/>
        <v>1680000</v>
      </c>
      <c r="N18" s="1">
        <f t="shared" si="3"/>
        <v>1680000</v>
      </c>
      <c r="O18" s="1">
        <f t="shared" si="3"/>
        <v>1680000</v>
      </c>
      <c r="P18" s="1">
        <f t="shared" si="3"/>
        <v>1680000</v>
      </c>
      <c r="Q18" s="1">
        <f t="shared" si="3"/>
        <v>1680000</v>
      </c>
      <c r="R18" s="1">
        <f t="shared" si="3"/>
        <v>1680000</v>
      </c>
      <c r="S18" s="1">
        <f t="shared" si="3"/>
        <v>1680000</v>
      </c>
      <c r="T18" s="1">
        <f t="shared" si="3"/>
        <v>1680000</v>
      </c>
      <c r="U18" s="1">
        <f t="shared" si="3"/>
        <v>1680000</v>
      </c>
      <c r="V18" s="1">
        <f t="shared" si="3"/>
        <v>1680000</v>
      </c>
      <c r="W18" s="1">
        <f t="shared" si="3"/>
        <v>1680000</v>
      </c>
      <c r="X18" s="1">
        <f t="shared" si="3"/>
        <v>1680000</v>
      </c>
    </row>
    <row r="19" spans="1:24">
      <c r="C19" s="2"/>
      <c r="D19" s="2"/>
    </row>
    <row r="21" spans="1:24">
      <c r="A21" s="13" t="s">
        <v>29</v>
      </c>
      <c r="B21" s="34"/>
      <c r="C21" s="34"/>
      <c r="D21" s="34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</row>
    <row r="22" spans="1:24">
      <c r="A22" s="3" t="s">
        <v>199</v>
      </c>
    </row>
    <row r="23" spans="1:24">
      <c r="A23" s="20" t="s">
        <v>139</v>
      </c>
      <c r="B23" t="str">
        <f>Inputs!I7</f>
        <v>Kerosene lamps - general</v>
      </c>
      <c r="C23">
        <f>IF(B23=Inputs!$H$17,Inputs!$I$17,IF('Emissions calculations'!B23=Inputs!$H$18,Inputs!$I$18,IF('Emissions calculations'!B23=Inputs!$H$19,Inputs!$I$19,IF(B23=Inputs!$I$20,Inputs!$I$20,IF(B23=Inputs!$H$21,Inputs!$I$21,IF(B23=Inputs!$H$22,Inputs!$I$22,IF(B23=Inputs!$H$23,(Inputs!$I$23*#REF!),IF(B23=Inputs!$H$24,(Inputs!$I$24*#REF!),IF(B23=Inputs!$H$25,(Inputs!$I$25*#REF!),IF(B23=Inputs!$H$26,(Inputs!$I$26*#REF!)))))))))))*Inputs!J7</f>
        <v>0</v>
      </c>
    </row>
    <row r="24" spans="1:24">
      <c r="A24" s="20" t="s">
        <v>142</v>
      </c>
      <c r="B24" t="str">
        <f>Inputs!I8</f>
        <v>Petrol generator</v>
      </c>
      <c r="C24">
        <f>IF(B24=Inputs!$H$17,Inputs!$I$17,IF('Emissions calculations'!B24=Inputs!$H$18,Inputs!$I$18,IF('Emissions calculations'!B24=Inputs!$H$19,Inputs!$I$19,IF(B24=Inputs!$I$20,Inputs!$I$20,IF(B24=Inputs!$H$21,Inputs!$I$21,IF(B24=Inputs!$H$22,Inputs!$I$22,IF(B24=Inputs!$H$23,(Inputs!$I$23*'Household consumption'!$B$3),IF(B24=Inputs!$H$24,(Inputs!$I$24*'Household consumption'!$B$3),IF(B24=Inputs!$H$25,(Inputs!$I$25*'Household consumption'!$B$3),IF(B24=Inputs!$H$26,(Inputs!$I$26*'Household consumption'!$B$3)))))))))))*Inputs!J8</f>
        <v>0</v>
      </c>
    </row>
    <row r="25" spans="1:24">
      <c r="A25" s="20" t="s">
        <v>145</v>
      </c>
      <c r="B25" t="str">
        <f>Inputs!I9</f>
        <v>Solar PV</v>
      </c>
      <c r="C25">
        <f>IF(B25=Inputs!$H$17,Inputs!$I$17,IF('Emissions calculations'!B25=Inputs!$H$18,Inputs!$I$18,IF('Emissions calculations'!B25=Inputs!$H$19,Inputs!$I$19,IF(B25=Inputs!$I$20,Inputs!$I$20,IF(B25=Inputs!$H$21,Inputs!$I$21,IF(B25=Inputs!$H$22,Inputs!$I$22,IF(B25=Inputs!$H$23,(Inputs!$I$23*52.56),IF(B25=Inputs!$H$24,(Inputs!$I$24*52.56),IF(B25=Inputs!$H$25,(Inputs!$I$25*52.56),IF(B25=Inputs!$H$26,(Inputs!$I$26*52.56)))))))))))*Inputs!J9</f>
        <v>0</v>
      </c>
    </row>
    <row r="26" spans="1:24">
      <c r="B26" s="31" t="s">
        <v>200</v>
      </c>
      <c r="C26" s="5">
        <f>SUM(C23:C25)</f>
        <v>0</v>
      </c>
      <c r="D26" s="14" t="str">
        <f>Inputs!J17</f>
        <v>kg CO2e/annum/household</v>
      </c>
    </row>
    <row r="27" spans="1:24">
      <c r="A27" s="30"/>
      <c r="B27" s="31" t="s">
        <v>201</v>
      </c>
      <c r="C27" s="90">
        <v>52.56</v>
      </c>
      <c r="D27" s="14" t="s">
        <v>202</v>
      </c>
    </row>
    <row r="28" spans="1:24" ht="15.75" thickBot="1">
      <c r="A28" s="30"/>
      <c r="B28" s="31" t="s">
        <v>203</v>
      </c>
      <c r="C28" s="5"/>
      <c r="D28" s="14" t="s">
        <v>204</v>
      </c>
      <c r="E28" s="1">
        <f>$C$27*E10</f>
        <v>315360</v>
      </c>
      <c r="F28" s="1">
        <f t="shared" ref="F28:X28" si="4">$C$27*F10</f>
        <v>315360</v>
      </c>
      <c r="G28" s="1">
        <f t="shared" si="4"/>
        <v>315360</v>
      </c>
      <c r="H28" s="1">
        <f t="shared" si="4"/>
        <v>315360</v>
      </c>
      <c r="I28" s="1">
        <f t="shared" si="4"/>
        <v>315360</v>
      </c>
      <c r="J28" s="1">
        <f t="shared" si="4"/>
        <v>315360</v>
      </c>
      <c r="K28" s="1">
        <f t="shared" si="4"/>
        <v>315360</v>
      </c>
      <c r="L28" s="1">
        <f t="shared" si="4"/>
        <v>315360</v>
      </c>
      <c r="M28" s="1">
        <f t="shared" si="4"/>
        <v>315360</v>
      </c>
      <c r="N28" s="1">
        <f t="shared" si="4"/>
        <v>315360</v>
      </c>
      <c r="O28" s="1">
        <f t="shared" si="4"/>
        <v>315360</v>
      </c>
      <c r="P28" s="1">
        <f t="shared" si="4"/>
        <v>315360</v>
      </c>
      <c r="Q28" s="1">
        <f t="shared" si="4"/>
        <v>315360</v>
      </c>
      <c r="R28" s="1">
        <f t="shared" si="4"/>
        <v>315360</v>
      </c>
      <c r="S28" s="1">
        <f t="shared" si="4"/>
        <v>315360</v>
      </c>
      <c r="T28" s="1">
        <f t="shared" si="4"/>
        <v>315360</v>
      </c>
      <c r="U28" s="1">
        <f t="shared" si="4"/>
        <v>315360</v>
      </c>
      <c r="V28" s="1">
        <f t="shared" si="4"/>
        <v>315360</v>
      </c>
      <c r="W28" s="1">
        <f t="shared" si="4"/>
        <v>315360</v>
      </c>
      <c r="X28" s="1">
        <f t="shared" si="4"/>
        <v>315360</v>
      </c>
    </row>
    <row r="29" spans="1:24" ht="15.75" thickBot="1">
      <c r="A29" s="215" t="s">
        <v>205</v>
      </c>
      <c r="B29" s="215"/>
      <c r="C29" s="40">
        <f>SUM(E29:X29)</f>
        <v>0</v>
      </c>
      <c r="D29" s="26" t="s">
        <v>206</v>
      </c>
      <c r="E29" s="27">
        <f>($C$26*E10)/1000</f>
        <v>0</v>
      </c>
      <c r="F29" s="27">
        <f t="shared" ref="F29:X29" si="5">($C$26*F10)/1000</f>
        <v>0</v>
      </c>
      <c r="G29" s="27">
        <f t="shared" si="5"/>
        <v>0</v>
      </c>
      <c r="H29" s="27">
        <f t="shared" si="5"/>
        <v>0</v>
      </c>
      <c r="I29" s="27">
        <f t="shared" si="5"/>
        <v>0</v>
      </c>
      <c r="J29" s="27">
        <f t="shared" si="5"/>
        <v>0</v>
      </c>
      <c r="K29" s="27">
        <f t="shared" si="5"/>
        <v>0</v>
      </c>
      <c r="L29" s="27">
        <f t="shared" si="5"/>
        <v>0</v>
      </c>
      <c r="M29" s="27">
        <f t="shared" si="5"/>
        <v>0</v>
      </c>
      <c r="N29" s="27">
        <f t="shared" si="5"/>
        <v>0</v>
      </c>
      <c r="O29" s="27">
        <f t="shared" si="5"/>
        <v>0</v>
      </c>
      <c r="P29" s="27">
        <f t="shared" si="5"/>
        <v>0</v>
      </c>
      <c r="Q29" s="27">
        <f t="shared" si="5"/>
        <v>0</v>
      </c>
      <c r="R29" s="27">
        <f t="shared" si="5"/>
        <v>0</v>
      </c>
      <c r="S29" s="27">
        <f t="shared" si="5"/>
        <v>0</v>
      </c>
      <c r="T29" s="27">
        <f t="shared" si="5"/>
        <v>0</v>
      </c>
      <c r="U29" s="27">
        <f t="shared" si="5"/>
        <v>0</v>
      </c>
      <c r="V29" s="27">
        <f t="shared" si="5"/>
        <v>0</v>
      </c>
      <c r="W29" s="27">
        <f t="shared" si="5"/>
        <v>0</v>
      </c>
      <c r="X29" s="27">
        <f t="shared" si="5"/>
        <v>0</v>
      </c>
    </row>
    <row r="30" spans="1:24">
      <c r="A30" s="20" t="str">
        <f>Inputs!H10</f>
        <v>Non-lighting (phone charging, appliances etc.) - tech 1</v>
      </c>
      <c r="B30" t="str">
        <f>Inputs!I10</f>
        <v>Petrol generator</v>
      </c>
      <c r="C30">
        <f>_xlfn.IFNA(INDEX(Inputs!$I$17:$I$26,MATCH('Emissions calculations'!B30,Inputs!$H$17:$H$26,0))*Inputs!J10,0)</f>
        <v>0</v>
      </c>
      <c r="D30" s="14" t="str">
        <f>Inputs!J23</f>
        <v>kg CO2/kWh</v>
      </c>
    </row>
    <row r="31" spans="1:24">
      <c r="A31" s="20" t="str">
        <f>Inputs!H11</f>
        <v>Non-lighting (phone charging, appliances etc.) - tech 2</v>
      </c>
      <c r="B31" t="str">
        <f>Inputs!I11</f>
        <v>Diesel generator (previous source)</v>
      </c>
      <c r="C31">
        <f>_xlfn.IFNA(INDEX(Inputs!$I$17:$I$26,MATCH('Emissions calculations'!B31,Inputs!$H$17:$H$26,0))*Inputs!J11,0)</f>
        <v>0</v>
      </c>
      <c r="D31" s="14" t="str">
        <f>Inputs!J24</f>
        <v>kg CO2/kWh</v>
      </c>
    </row>
    <row r="32" spans="1:24">
      <c r="A32" s="20" t="str">
        <f>Inputs!H12</f>
        <v>Non-lighting (phone charging, appliances etc.) - tech 3</v>
      </c>
      <c r="B32" t="str">
        <f>Inputs!I12</f>
        <v>Solar PV</v>
      </c>
      <c r="C32">
        <f>_xlfn.IFNA(INDEX(Inputs!$I$17:$I$26,MATCH('Emissions calculations'!B32,Inputs!$H$17:$H$26,0))*Inputs!J12,0)</f>
        <v>0</v>
      </c>
      <c r="D32" s="14" t="str">
        <f>Inputs!J25</f>
        <v>kg CO2/kWh</v>
      </c>
    </row>
    <row r="33" spans="1:24">
      <c r="B33" s="31" t="s">
        <v>207</v>
      </c>
      <c r="C33">
        <f>SUM(C30:C32)</f>
        <v>0</v>
      </c>
      <c r="D33" s="14" t="str">
        <f>Inputs!C27</f>
        <v>kg CO2/kWh</v>
      </c>
    </row>
    <row r="34" spans="1:24">
      <c r="B34" s="20" t="s">
        <v>208</v>
      </c>
      <c r="C34">
        <v>5.83</v>
      </c>
      <c r="D34" s="14" t="s">
        <v>202</v>
      </c>
      <c r="E34" s="16"/>
    </row>
    <row r="35" spans="1:24" ht="15.75" thickBot="1">
      <c r="B35" s="31" t="s">
        <v>209</v>
      </c>
      <c r="C35" s="16">
        <f>SUM(E35:X35)</f>
        <v>699600</v>
      </c>
      <c r="D35" s="14" t="s">
        <v>43</v>
      </c>
      <c r="E35" s="1">
        <f>$C$34*E10</f>
        <v>34980</v>
      </c>
      <c r="F35" s="1">
        <f t="shared" ref="F35:X35" si="6">$C$34*F10</f>
        <v>34980</v>
      </c>
      <c r="G35" s="1">
        <f t="shared" si="6"/>
        <v>34980</v>
      </c>
      <c r="H35" s="1">
        <f t="shared" si="6"/>
        <v>34980</v>
      </c>
      <c r="I35" s="1">
        <f t="shared" si="6"/>
        <v>34980</v>
      </c>
      <c r="J35" s="1">
        <f t="shared" si="6"/>
        <v>34980</v>
      </c>
      <c r="K35" s="1">
        <f t="shared" si="6"/>
        <v>34980</v>
      </c>
      <c r="L35" s="1">
        <f t="shared" si="6"/>
        <v>34980</v>
      </c>
      <c r="M35" s="1">
        <f t="shared" si="6"/>
        <v>34980</v>
      </c>
      <c r="N35" s="1">
        <f t="shared" si="6"/>
        <v>34980</v>
      </c>
      <c r="O35" s="1">
        <f t="shared" si="6"/>
        <v>34980</v>
      </c>
      <c r="P35" s="1">
        <f t="shared" si="6"/>
        <v>34980</v>
      </c>
      <c r="Q35" s="1">
        <f t="shared" si="6"/>
        <v>34980</v>
      </c>
      <c r="R35" s="1">
        <f t="shared" si="6"/>
        <v>34980</v>
      </c>
      <c r="S35" s="1">
        <f t="shared" si="6"/>
        <v>34980</v>
      </c>
      <c r="T35" s="1">
        <f t="shared" si="6"/>
        <v>34980</v>
      </c>
      <c r="U35" s="1">
        <f t="shared" si="6"/>
        <v>34980</v>
      </c>
      <c r="V35" s="1">
        <f t="shared" si="6"/>
        <v>34980</v>
      </c>
      <c r="W35" s="1">
        <f t="shared" si="6"/>
        <v>34980</v>
      </c>
      <c r="X35" s="1">
        <f t="shared" si="6"/>
        <v>34980</v>
      </c>
    </row>
    <row r="36" spans="1:24" ht="15.75" thickBot="1">
      <c r="A36" s="215" t="s">
        <v>210</v>
      </c>
      <c r="B36" s="215"/>
      <c r="C36" s="41">
        <f>SUM(E36:X36)</f>
        <v>0</v>
      </c>
      <c r="D36" s="26" t="s">
        <v>211</v>
      </c>
      <c r="E36" s="29">
        <f>(E35*$C$33)/1000</f>
        <v>0</v>
      </c>
      <c r="F36" s="29">
        <f t="shared" ref="F36:X36" si="7">(F35*$C$33)/1000</f>
        <v>0</v>
      </c>
      <c r="G36" s="29">
        <f t="shared" si="7"/>
        <v>0</v>
      </c>
      <c r="H36" s="29">
        <f t="shared" si="7"/>
        <v>0</v>
      </c>
      <c r="I36" s="29">
        <f t="shared" si="7"/>
        <v>0</v>
      </c>
      <c r="J36" s="29">
        <f t="shared" si="7"/>
        <v>0</v>
      </c>
      <c r="K36" s="29">
        <f t="shared" si="7"/>
        <v>0</v>
      </c>
      <c r="L36" s="29">
        <f t="shared" si="7"/>
        <v>0</v>
      </c>
      <c r="M36" s="29">
        <f t="shared" si="7"/>
        <v>0</v>
      </c>
      <c r="N36" s="29">
        <f t="shared" si="7"/>
        <v>0</v>
      </c>
      <c r="O36" s="29">
        <f t="shared" si="7"/>
        <v>0</v>
      </c>
      <c r="P36" s="29">
        <f t="shared" si="7"/>
        <v>0</v>
      </c>
      <c r="Q36" s="29">
        <f t="shared" si="7"/>
        <v>0</v>
      </c>
      <c r="R36" s="29">
        <f t="shared" si="7"/>
        <v>0</v>
      </c>
      <c r="S36" s="29">
        <f t="shared" si="7"/>
        <v>0</v>
      </c>
      <c r="T36" s="29">
        <f t="shared" si="7"/>
        <v>0</v>
      </c>
      <c r="U36" s="29">
        <f t="shared" si="7"/>
        <v>0</v>
      </c>
      <c r="V36" s="29">
        <f t="shared" si="7"/>
        <v>0</v>
      </c>
      <c r="W36" s="29">
        <f t="shared" si="7"/>
        <v>0</v>
      </c>
      <c r="X36" s="29">
        <f t="shared" si="7"/>
        <v>0</v>
      </c>
    </row>
    <row r="37" spans="1:24">
      <c r="A37" s="214" t="s">
        <v>212</v>
      </c>
      <c r="B37" s="214"/>
      <c r="C37" s="42">
        <f>SUM(E37:X37)</f>
        <v>0</v>
      </c>
      <c r="D37" s="26" t="s">
        <v>211</v>
      </c>
      <c r="E37" s="32">
        <f t="shared" ref="E37:X37" si="8">E29+E36</f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8"/>
        <v>0</v>
      </c>
      <c r="O37" s="32">
        <f t="shared" si="8"/>
        <v>0</v>
      </c>
      <c r="P37" s="32">
        <f t="shared" si="8"/>
        <v>0</v>
      </c>
      <c r="Q37" s="32">
        <f t="shared" si="8"/>
        <v>0</v>
      </c>
      <c r="R37" s="32">
        <f t="shared" si="8"/>
        <v>0</v>
      </c>
      <c r="S37" s="32">
        <f t="shared" si="8"/>
        <v>0</v>
      </c>
      <c r="T37" s="32">
        <f t="shared" si="8"/>
        <v>0</v>
      </c>
      <c r="U37" s="32">
        <f t="shared" si="8"/>
        <v>0</v>
      </c>
      <c r="V37" s="32">
        <f t="shared" si="8"/>
        <v>0</v>
      </c>
      <c r="W37" s="32">
        <f t="shared" si="8"/>
        <v>0</v>
      </c>
      <c r="X37" s="32">
        <f t="shared" si="8"/>
        <v>0</v>
      </c>
    </row>
    <row r="38" spans="1:24"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</row>
    <row r="39" spans="1:24">
      <c r="A39" s="3" t="s">
        <v>213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24">
      <c r="A40" s="31" t="str">
        <f>Inputs!L7</f>
        <v>All loads tech 1</v>
      </c>
      <c r="B40" s="33" t="str">
        <f>Inputs!M7</f>
        <v>Petrol generator</v>
      </c>
      <c r="C40">
        <f>_xlfn.IFNA(INDEX(Inputs!$I$17:$I$26,MATCH('Emissions calculations'!B40,Inputs!$H$17:$H$26,0))*Inputs!N7,0)</f>
        <v>1.2516428571428573</v>
      </c>
      <c r="D40" s="14" t="s">
        <v>175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spans="1:24">
      <c r="A41" s="31" t="str">
        <f>Inputs!L8</f>
        <v>All loads tech 2</v>
      </c>
      <c r="B41" s="33">
        <f>Inputs!M8</f>
        <v>0</v>
      </c>
      <c r="C41">
        <f>_xlfn.IFNA(INDEX(Inputs!$I$17:$I$26,MATCH('Emissions calculations'!B41,Inputs!$H$17:$H$26,0))*Inputs!N8,0)</f>
        <v>0</v>
      </c>
      <c r="D41" s="14" t="s">
        <v>175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1:24">
      <c r="A42" s="31" t="str">
        <f>Inputs!L9</f>
        <v>All loads tech 3</v>
      </c>
      <c r="B42" s="33">
        <f>Inputs!M9</f>
        <v>0</v>
      </c>
      <c r="C42">
        <f>_xlfn.IFNA(INDEX(Inputs!$I$17:$I$26,MATCH('Emissions calculations'!B42,Inputs!$H$17:$H$26,0))*Inputs!N9,0)</f>
        <v>0</v>
      </c>
      <c r="D42" s="14" t="s">
        <v>175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24">
      <c r="A43" s="31" t="str">
        <f>Inputs!L10</f>
        <v>All loads tech 4</v>
      </c>
      <c r="B43" s="33">
        <f>Inputs!M10</f>
        <v>0</v>
      </c>
      <c r="C43">
        <f>_xlfn.IFNA(INDEX(Inputs!$I$17:$I$26,MATCH('Emissions calculations'!B43,Inputs!$H$17:$H$26,0))*Inputs!N10,0)</f>
        <v>0</v>
      </c>
      <c r="D43" s="14" t="s">
        <v>175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spans="1:24">
      <c r="A44" s="31" t="str">
        <f>Inputs!L11</f>
        <v>All loads tech 5</v>
      </c>
      <c r="B44" s="33">
        <f>Inputs!M11</f>
        <v>0</v>
      </c>
      <c r="C44">
        <f>_xlfn.IFNA(INDEX(Inputs!$I$17:$I$26,MATCH('Emissions calculations'!B44,Inputs!$H$17:$H$26,0))*Inputs!N11,0)</f>
        <v>0</v>
      </c>
      <c r="D44" s="14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>
      <c r="A45" s="31"/>
      <c r="B45" s="31" t="s">
        <v>214</v>
      </c>
      <c r="C45">
        <f>SUM(C40:C44)</f>
        <v>1.2516428571428573</v>
      </c>
      <c r="D45" s="14" t="s">
        <v>175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1:24" ht="24" customHeight="1" thickBot="1">
      <c r="B46" s="31" t="s">
        <v>215</v>
      </c>
      <c r="D46" s="14" t="s">
        <v>204</v>
      </c>
      <c r="E46" s="16">
        <f>(E18*Inputs!$N$12)</f>
        <v>588000</v>
      </c>
      <c r="F46" s="16">
        <f>(F18*Inputs!$N$12)</f>
        <v>841237.8161471549</v>
      </c>
      <c r="G46" s="16">
        <f>(G18*Inputs!$N$12)</f>
        <v>989372.44235775946</v>
      </c>
      <c r="H46" s="16">
        <f>(H18*Inputs!$N$12)</f>
        <v>1094475.6322943103</v>
      </c>
      <c r="I46" s="16">
        <f>(I18*Inputs!$N$12)</f>
        <v>1176000</v>
      </c>
      <c r="J46" s="16">
        <f>(J18*Inputs!$N$12)</f>
        <v>1176000</v>
      </c>
      <c r="K46" s="16">
        <f>(K18*Inputs!$N$12)</f>
        <v>1176000</v>
      </c>
      <c r="L46" s="16">
        <f>(L18*Inputs!$N$12)</f>
        <v>1176000</v>
      </c>
      <c r="M46" s="16">
        <f>(M18*Inputs!$N$12)</f>
        <v>1176000</v>
      </c>
      <c r="N46" s="16">
        <f>(N18*Inputs!$N$12)</f>
        <v>1176000</v>
      </c>
      <c r="O46" s="16">
        <f>(O18*Inputs!$N$12)</f>
        <v>1176000</v>
      </c>
      <c r="P46" s="16">
        <f>(P18*Inputs!$N$12)</f>
        <v>1176000</v>
      </c>
      <c r="Q46" s="16">
        <f>(Q18*Inputs!$N$12)</f>
        <v>1176000</v>
      </c>
      <c r="R46" s="16">
        <f>(R18*Inputs!$N$12)</f>
        <v>1176000</v>
      </c>
      <c r="S46" s="16">
        <f>(S18*Inputs!$N$12)</f>
        <v>1176000</v>
      </c>
      <c r="T46" s="16">
        <f>(T18*Inputs!$N$12)</f>
        <v>1176000</v>
      </c>
      <c r="U46" s="16">
        <f>(U18*Inputs!$N$12)</f>
        <v>1176000</v>
      </c>
      <c r="V46" s="16">
        <f>(V18*Inputs!$N$12)</f>
        <v>1176000</v>
      </c>
      <c r="W46" s="16">
        <f>(W18*Inputs!$N$12)</f>
        <v>1176000</v>
      </c>
      <c r="X46" s="16">
        <f>(X18*Inputs!$N$12)</f>
        <v>1176000</v>
      </c>
    </row>
    <row r="47" spans="1:24" ht="19.5" customHeight="1" thickBot="1">
      <c r="A47" s="214" t="s">
        <v>216</v>
      </c>
      <c r="B47" s="214"/>
      <c r="C47" s="49">
        <f>SUM(E47:X47)</f>
        <v>27948.04086174821</v>
      </c>
      <c r="D47" s="26" t="s">
        <v>211</v>
      </c>
      <c r="E47" s="28">
        <f>(E46*$C$45)/1000</f>
        <v>735.96600000000012</v>
      </c>
      <c r="F47" s="28">
        <f t="shared" ref="F47:X47" si="9">(F46*$C$45)/1000</f>
        <v>1052.9293037390428</v>
      </c>
      <c r="G47" s="28">
        <f t="shared" si="9"/>
        <v>1238.3409505310728</v>
      </c>
      <c r="H47" s="28">
        <f t="shared" si="9"/>
        <v>1369.8926074780857</v>
      </c>
      <c r="I47" s="28">
        <f t="shared" si="9"/>
        <v>1471.9320000000002</v>
      </c>
      <c r="J47" s="28">
        <f t="shared" si="9"/>
        <v>1471.9320000000002</v>
      </c>
      <c r="K47" s="28">
        <f t="shared" si="9"/>
        <v>1471.9320000000002</v>
      </c>
      <c r="L47" s="28">
        <f t="shared" si="9"/>
        <v>1471.9320000000002</v>
      </c>
      <c r="M47" s="28">
        <f t="shared" si="9"/>
        <v>1471.9320000000002</v>
      </c>
      <c r="N47" s="28">
        <f t="shared" si="9"/>
        <v>1471.9320000000002</v>
      </c>
      <c r="O47" s="28">
        <f t="shared" si="9"/>
        <v>1471.9320000000002</v>
      </c>
      <c r="P47" s="28">
        <f t="shared" si="9"/>
        <v>1471.9320000000002</v>
      </c>
      <c r="Q47" s="28">
        <f t="shared" si="9"/>
        <v>1471.9320000000002</v>
      </c>
      <c r="R47" s="28">
        <f t="shared" si="9"/>
        <v>1471.9320000000002</v>
      </c>
      <c r="S47" s="28">
        <f t="shared" si="9"/>
        <v>1471.9320000000002</v>
      </c>
      <c r="T47" s="28">
        <f t="shared" si="9"/>
        <v>1471.9320000000002</v>
      </c>
      <c r="U47" s="28">
        <f t="shared" si="9"/>
        <v>1471.9320000000002</v>
      </c>
      <c r="V47" s="28">
        <f t="shared" si="9"/>
        <v>1471.9320000000002</v>
      </c>
      <c r="W47" s="28">
        <f t="shared" si="9"/>
        <v>1471.9320000000002</v>
      </c>
      <c r="X47" s="28">
        <f t="shared" si="9"/>
        <v>1471.9320000000002</v>
      </c>
    </row>
    <row r="48" spans="1:24" ht="19.5" customHeight="1" thickBot="1">
      <c r="A48" s="213" t="s">
        <v>217</v>
      </c>
      <c r="B48" s="213"/>
      <c r="C48" s="48">
        <f>SUM(E48:X48)</f>
        <v>27948.04086174821</v>
      </c>
      <c r="D48" s="36" t="s">
        <v>211</v>
      </c>
      <c r="E48" s="39">
        <f>E47+E37</f>
        <v>735.96600000000012</v>
      </c>
      <c r="F48" s="39">
        <f t="shared" ref="F48:X48" si="10">F47+F37</f>
        <v>1052.9293037390428</v>
      </c>
      <c r="G48" s="39">
        <f t="shared" si="10"/>
        <v>1238.3409505310728</v>
      </c>
      <c r="H48" s="39">
        <f t="shared" si="10"/>
        <v>1369.8926074780857</v>
      </c>
      <c r="I48" s="39">
        <f t="shared" si="10"/>
        <v>1471.9320000000002</v>
      </c>
      <c r="J48" s="39">
        <f t="shared" si="10"/>
        <v>1471.9320000000002</v>
      </c>
      <c r="K48" s="39">
        <f t="shared" si="10"/>
        <v>1471.9320000000002</v>
      </c>
      <c r="L48" s="39">
        <f t="shared" si="10"/>
        <v>1471.9320000000002</v>
      </c>
      <c r="M48" s="39">
        <f t="shared" si="10"/>
        <v>1471.9320000000002</v>
      </c>
      <c r="N48" s="39">
        <f t="shared" si="10"/>
        <v>1471.9320000000002</v>
      </c>
      <c r="O48" s="39">
        <f t="shared" si="10"/>
        <v>1471.9320000000002</v>
      </c>
      <c r="P48" s="39">
        <f t="shared" si="10"/>
        <v>1471.9320000000002</v>
      </c>
      <c r="Q48" s="39">
        <f t="shared" si="10"/>
        <v>1471.9320000000002</v>
      </c>
      <c r="R48" s="39">
        <f t="shared" si="10"/>
        <v>1471.9320000000002</v>
      </c>
      <c r="S48" s="39">
        <f t="shared" si="10"/>
        <v>1471.9320000000002</v>
      </c>
      <c r="T48" s="39">
        <f t="shared" si="10"/>
        <v>1471.9320000000002</v>
      </c>
      <c r="U48" s="39">
        <f t="shared" si="10"/>
        <v>1471.9320000000002</v>
      </c>
      <c r="V48" s="39">
        <f t="shared" si="10"/>
        <v>1471.9320000000002</v>
      </c>
      <c r="W48" s="39">
        <f t="shared" si="10"/>
        <v>1471.9320000000002</v>
      </c>
      <c r="X48" s="39">
        <f t="shared" si="10"/>
        <v>1471.9320000000002</v>
      </c>
    </row>
    <row r="49" spans="1:24" ht="15.75" thickTop="1">
      <c r="A49" s="58" t="s">
        <v>57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</row>
    <row r="50" spans="1:24">
      <c r="A50" t="str">
        <f>Inputs!A22</f>
        <v>Primary Generating Technology</v>
      </c>
      <c r="B50" t="str">
        <f>Inputs!B22</f>
        <v>Solar PV</v>
      </c>
      <c r="C50">
        <f>_xlfn.IFNA(INDEX(Inputs!$B$27:$B$28,MATCH('Emissions calculations'!B50,Inputs!$A$27:$A$28,0))*Inputs!C22,0)</f>
        <v>0</v>
      </c>
    </row>
    <row r="51" spans="1:24">
      <c r="A51" t="str">
        <f>Inputs!A23</f>
        <v xml:space="preserve">Back-up Generating Technology </v>
      </c>
      <c r="B51" t="str">
        <f>Inputs!B23</f>
        <v>Diesel generator (mini-grid)</v>
      </c>
      <c r="C51">
        <f>_xlfn.IFNA(INDEX(Inputs!$B$27:$B$28,MATCH('Emissions calculations'!B51,Inputs!$A$27:$A$28,0))*Inputs!C23,0)</f>
        <v>0.32000000000000006</v>
      </c>
      <c r="D51" s="14" t="s">
        <v>175</v>
      </c>
    </row>
    <row r="52" spans="1:24">
      <c r="B52" s="21" t="s">
        <v>218</v>
      </c>
      <c r="C52">
        <f>SUM(C50:C51)</f>
        <v>0.32000000000000006</v>
      </c>
      <c r="D52" s="14" t="s">
        <v>175</v>
      </c>
    </row>
    <row r="53" spans="1:24" ht="15.75" thickBot="1">
      <c r="A53" s="213" t="s">
        <v>219</v>
      </c>
      <c r="B53" s="213"/>
      <c r="C53" s="65">
        <f>SUM(E53:X53)</f>
        <v>14582.260173583169</v>
      </c>
      <c r="D53" s="36" t="s">
        <v>211</v>
      </c>
      <c r="E53" s="37">
        <f t="shared" ref="E53:X53" si="11">($C$52*E14)/1000</f>
        <v>384.00000000000006</v>
      </c>
      <c r="F53" s="37">
        <f t="shared" si="11"/>
        <v>549.37979830018298</v>
      </c>
      <c r="G53" s="37">
        <f t="shared" si="11"/>
        <v>646.12077868261849</v>
      </c>
      <c r="H53" s="37">
        <f t="shared" si="11"/>
        <v>714.75959660036608</v>
      </c>
      <c r="I53" s="37">
        <f t="shared" si="11"/>
        <v>768.00000000000011</v>
      </c>
      <c r="J53" s="37">
        <f t="shared" si="11"/>
        <v>768.00000000000011</v>
      </c>
      <c r="K53" s="37">
        <f t="shared" si="11"/>
        <v>768.00000000000011</v>
      </c>
      <c r="L53" s="37">
        <f t="shared" si="11"/>
        <v>768.00000000000011</v>
      </c>
      <c r="M53" s="37">
        <f t="shared" si="11"/>
        <v>768.00000000000011</v>
      </c>
      <c r="N53" s="37">
        <f t="shared" si="11"/>
        <v>768.00000000000011</v>
      </c>
      <c r="O53" s="37">
        <f t="shared" si="11"/>
        <v>768.00000000000011</v>
      </c>
      <c r="P53" s="37">
        <f t="shared" si="11"/>
        <v>768.00000000000011</v>
      </c>
      <c r="Q53" s="37">
        <f t="shared" si="11"/>
        <v>768.00000000000011</v>
      </c>
      <c r="R53" s="37">
        <f t="shared" si="11"/>
        <v>768.00000000000011</v>
      </c>
      <c r="S53" s="37">
        <f t="shared" si="11"/>
        <v>768.00000000000011</v>
      </c>
      <c r="T53" s="37">
        <f t="shared" si="11"/>
        <v>768.00000000000011</v>
      </c>
      <c r="U53" s="37">
        <f t="shared" si="11"/>
        <v>768.00000000000011</v>
      </c>
      <c r="V53" s="37">
        <f t="shared" si="11"/>
        <v>768.00000000000011</v>
      </c>
      <c r="W53" s="37">
        <f t="shared" si="11"/>
        <v>768.00000000000011</v>
      </c>
      <c r="X53" s="37">
        <f t="shared" si="11"/>
        <v>768.00000000000011</v>
      </c>
    </row>
    <row r="54" spans="1:24" ht="16.5" thickTop="1" thickBot="1">
      <c r="A54" s="56"/>
      <c r="B54" s="56"/>
      <c r="C54" s="56"/>
      <c r="D54" s="14"/>
      <c r="E54" s="62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s="5" customFormat="1" ht="17.25" thickTop="1" thickBot="1">
      <c r="A55" s="55" t="s">
        <v>220</v>
      </c>
      <c r="B55" s="50"/>
      <c r="C55" s="60">
        <f>SUM(E55:X55)</f>
        <v>13365.780688165038</v>
      </c>
      <c r="D55" s="53" t="s">
        <v>211</v>
      </c>
      <c r="E55" s="38">
        <f>E48-E53</f>
        <v>351.96600000000007</v>
      </c>
      <c r="F55" s="38">
        <f t="shared" ref="F55:X55" si="12">F48-F53</f>
        <v>503.5495054388598</v>
      </c>
      <c r="G55" s="38">
        <f t="shared" si="12"/>
        <v>592.22017184845436</v>
      </c>
      <c r="H55" s="38">
        <f t="shared" si="12"/>
        <v>655.13301087771958</v>
      </c>
      <c r="I55" s="38">
        <f t="shared" si="12"/>
        <v>703.93200000000013</v>
      </c>
      <c r="J55" s="38">
        <f t="shared" si="12"/>
        <v>703.93200000000013</v>
      </c>
      <c r="K55" s="38">
        <f t="shared" si="12"/>
        <v>703.93200000000013</v>
      </c>
      <c r="L55" s="38">
        <f t="shared" si="12"/>
        <v>703.93200000000013</v>
      </c>
      <c r="M55" s="38">
        <f t="shared" si="12"/>
        <v>703.93200000000013</v>
      </c>
      <c r="N55" s="38">
        <f t="shared" si="12"/>
        <v>703.93200000000013</v>
      </c>
      <c r="O55" s="38">
        <f t="shared" si="12"/>
        <v>703.93200000000013</v>
      </c>
      <c r="P55" s="38">
        <f t="shared" si="12"/>
        <v>703.93200000000013</v>
      </c>
      <c r="Q55" s="38">
        <f t="shared" si="12"/>
        <v>703.93200000000013</v>
      </c>
      <c r="R55" s="38">
        <f t="shared" si="12"/>
        <v>703.93200000000013</v>
      </c>
      <c r="S55" s="38">
        <f t="shared" si="12"/>
        <v>703.93200000000013</v>
      </c>
      <c r="T55" s="38">
        <f t="shared" si="12"/>
        <v>703.93200000000013</v>
      </c>
      <c r="U55" s="38">
        <f t="shared" si="12"/>
        <v>703.93200000000013</v>
      </c>
      <c r="V55" s="38">
        <f t="shared" si="12"/>
        <v>703.93200000000013</v>
      </c>
      <c r="W55" s="38">
        <f t="shared" si="12"/>
        <v>703.93200000000013</v>
      </c>
      <c r="X55" s="38">
        <f t="shared" si="12"/>
        <v>703.93200000000013</v>
      </c>
    </row>
    <row r="56" spans="1:24" ht="17.25" thickTop="1" thickBot="1">
      <c r="A56" s="51" t="s">
        <v>221</v>
      </c>
      <c r="B56" s="52"/>
      <c r="C56" s="61">
        <f>ROUNDDOWN(C55/Inputs!B18,0)</f>
        <v>668</v>
      </c>
      <c r="D56" s="54" t="s">
        <v>211</v>
      </c>
      <c r="E56" t="str">
        <f>C56  &amp;  D56</f>
        <v>668Tonnes CO2e</v>
      </c>
    </row>
    <row r="57" spans="1:24" ht="15.75" thickTop="1">
      <c r="A57" t="s">
        <v>222</v>
      </c>
      <c r="C57">
        <f>C55*1000/C14</f>
        <v>0.29330500000000009</v>
      </c>
      <c r="D57" s="57" t="s">
        <v>223</v>
      </c>
    </row>
    <row r="58" spans="1:24">
      <c r="D58" s="5"/>
      <c r="E58" s="2"/>
    </row>
    <row r="59" spans="1:24">
      <c r="A59" t="s">
        <v>224</v>
      </c>
      <c r="B59" t="s">
        <v>225</v>
      </c>
      <c r="C59" s="43">
        <f>C55/Inputs!B7</f>
        <v>1.3365780688165039</v>
      </c>
      <c r="D59" s="57" t="s">
        <v>211</v>
      </c>
    </row>
    <row r="60" spans="1:24">
      <c r="B60" t="s">
        <v>226</v>
      </c>
      <c r="C60" s="43">
        <f>C56/Inputs!B7</f>
        <v>6.6799999999999998E-2</v>
      </c>
      <c r="D60" s="57" t="s">
        <v>227</v>
      </c>
      <c r="G60" s="2"/>
    </row>
    <row r="62" spans="1:24">
      <c r="A62" t="s">
        <v>228</v>
      </c>
      <c r="C62" s="43">
        <f>C55*1000/Inputs!B6</f>
        <v>1.3365780688165037</v>
      </c>
      <c r="D62" s="57" t="s">
        <v>229</v>
      </c>
    </row>
    <row r="63" spans="1:24">
      <c r="A63" t="s">
        <v>230</v>
      </c>
      <c r="C63" s="59">
        <f>Inputs!B6/'Emissions calculations'!C55</f>
        <v>748.17926713810834</v>
      </c>
      <c r="D63" s="57" t="s">
        <v>231</v>
      </c>
    </row>
    <row r="64" spans="1:24">
      <c r="C64">
        <f>Inputs!B6/('Emissions calculations'!C55*1000)</f>
        <v>0.74817926713810845</v>
      </c>
      <c r="D64" s="57" t="s">
        <v>232</v>
      </c>
    </row>
  </sheetData>
  <sheetProtection algorithmName="SHA-512" hashValue="ZGPrXAzEiHachG5MuJ2RKRO23BrW5DlbDcssMe2+Tr+jgXGSGIRCQVIQ+N9A5zqECKLjP9GV2neFRFRDzlb9hg==" saltValue="w8o+WeZMiimmg2xY84btjQ==" spinCount="100000" sheet="1" objects="1" scenarios="1"/>
  <mergeCells count="6">
    <mergeCell ref="A53:B53"/>
    <mergeCell ref="A47:B47"/>
    <mergeCell ref="A48:B48"/>
    <mergeCell ref="A36:B36"/>
    <mergeCell ref="A29:B29"/>
    <mergeCell ref="A37:B37"/>
  </mergeCells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E1F16-130F-46C0-B488-711A93145DDD}">
  <sheetPr>
    <tabColor theme="4"/>
  </sheetPr>
  <dimension ref="B1:P66"/>
  <sheetViews>
    <sheetView topLeftCell="A2" zoomScale="60" zoomScaleNormal="60" workbookViewId="0">
      <selection activeCell="C2" sqref="C2"/>
    </sheetView>
  </sheetViews>
  <sheetFormatPr defaultRowHeight="15"/>
  <cols>
    <col min="2" max="2" width="19.140625" customWidth="1"/>
    <col min="3" max="3" width="23" customWidth="1"/>
    <col min="4" max="5" width="23.140625" customWidth="1"/>
    <col min="6" max="6" width="21.42578125" customWidth="1"/>
    <col min="7" max="7" width="24" customWidth="1"/>
    <col min="8" max="8" width="13.7109375" customWidth="1"/>
    <col min="9" max="10" width="12.5703125" customWidth="1"/>
    <col min="11" max="12" width="3.5703125" customWidth="1"/>
    <col min="13" max="13" width="2.7109375" customWidth="1"/>
    <col min="14" max="14" width="26.85546875" customWidth="1"/>
    <col min="16" max="16" width="10.5703125" customWidth="1"/>
  </cols>
  <sheetData>
    <row r="1" spans="2:16" ht="29.25" customHeight="1">
      <c r="B1" s="10" t="s">
        <v>233</v>
      </c>
      <c r="C1" s="10" t="s">
        <v>234</v>
      </c>
      <c r="D1" s="10" t="s">
        <v>235</v>
      </c>
      <c r="E1" s="10" t="s">
        <v>236</v>
      </c>
      <c r="F1" s="22" t="s">
        <v>237</v>
      </c>
      <c r="G1" s="22" t="s">
        <v>238</v>
      </c>
      <c r="H1" s="23" t="s">
        <v>239</v>
      </c>
      <c r="I1" s="23" t="s">
        <v>240</v>
      </c>
      <c r="J1" s="23" t="s">
        <v>241</v>
      </c>
      <c r="N1" s="216" t="s">
        <v>242</v>
      </c>
      <c r="O1" s="216"/>
      <c r="P1" s="216"/>
    </row>
    <row r="2" spans="2:16" ht="47.25" customHeight="1">
      <c r="B2" s="8" t="s">
        <v>243</v>
      </c>
      <c r="C2" s="8">
        <v>2.1000000000000001E-2</v>
      </c>
      <c r="D2" s="8">
        <v>3.5</v>
      </c>
      <c r="E2" s="8">
        <v>1</v>
      </c>
      <c r="F2" s="8">
        <v>2.5</v>
      </c>
      <c r="G2" s="8">
        <v>1.1339999999999999</v>
      </c>
      <c r="H2" s="8">
        <f>C2*(D2*E2*F2*365)</f>
        <v>67.068750000000009</v>
      </c>
      <c r="I2" s="8">
        <f>C2*(D2*E2*G2*365)</f>
        <v>30.422384999999995</v>
      </c>
      <c r="J2" s="8">
        <f>H2+I2</f>
        <v>97.491135</v>
      </c>
      <c r="N2" s="189">
        <v>0.11</v>
      </c>
      <c r="O2" s="8" t="s">
        <v>244</v>
      </c>
      <c r="P2" s="8"/>
    </row>
    <row r="3" spans="2:16">
      <c r="B3" s="8" t="s">
        <v>245</v>
      </c>
      <c r="C3" s="8">
        <v>1.9E-2</v>
      </c>
      <c r="D3" s="8">
        <v>3.5</v>
      </c>
      <c r="E3" s="8">
        <v>1</v>
      </c>
      <c r="F3" s="8">
        <v>2.5</v>
      </c>
      <c r="G3" s="8">
        <v>0</v>
      </c>
      <c r="H3" s="8">
        <f t="shared" ref="H3:H4" si="0">C3*(D3*E3*F3*365)</f>
        <v>60.681249999999999</v>
      </c>
      <c r="I3" s="8">
        <f t="shared" ref="I3:I4" si="1">C3*(D3*E3*G3*365)</f>
        <v>0</v>
      </c>
      <c r="J3" s="8">
        <f>H3+I3</f>
        <v>60.681249999999999</v>
      </c>
      <c r="N3" s="189">
        <v>0.45</v>
      </c>
      <c r="O3" s="8" t="s">
        <v>246</v>
      </c>
      <c r="P3" s="8"/>
    </row>
    <row r="4" spans="2:16">
      <c r="B4" s="8" t="s">
        <v>247</v>
      </c>
      <c r="C4" s="8">
        <v>1.7999999999999999E-2</v>
      </c>
      <c r="D4" s="8">
        <v>3.5</v>
      </c>
      <c r="E4" s="8">
        <v>1</v>
      </c>
      <c r="F4" s="8">
        <v>2.4</v>
      </c>
      <c r="G4" s="8">
        <v>45.36</v>
      </c>
      <c r="H4" s="8">
        <f t="shared" si="0"/>
        <v>55.187999999999995</v>
      </c>
      <c r="I4" s="8">
        <f t="shared" si="1"/>
        <v>1043.0531999999998</v>
      </c>
      <c r="J4" s="8">
        <f>H4+I4</f>
        <v>1098.2411999999999</v>
      </c>
      <c r="N4" s="189">
        <v>0.44</v>
      </c>
      <c r="O4" s="8" t="s">
        <v>248</v>
      </c>
      <c r="P4" s="8"/>
    </row>
    <row r="5" spans="2:16" ht="27.75" customHeight="1">
      <c r="N5" s="101" t="s">
        <v>249</v>
      </c>
      <c r="O5" s="8">
        <f>(N4*J4)+(N2*J3)+(N3*J2)</f>
        <v>533.77207624999994</v>
      </c>
      <c r="P5" s="8" t="s">
        <v>250</v>
      </c>
    </row>
    <row r="6" spans="2:16" ht="15.75" thickBot="1"/>
    <row r="7" spans="2:16">
      <c r="B7" s="217" t="s">
        <v>251</v>
      </c>
      <c r="C7" s="218"/>
      <c r="D7" s="218"/>
      <c r="E7" s="218"/>
      <c r="F7" s="218"/>
      <c r="G7" s="218"/>
      <c r="H7" s="218"/>
      <c r="I7" s="218"/>
      <c r="J7" s="219"/>
    </row>
    <row r="8" spans="2:16">
      <c r="B8" s="220"/>
      <c r="C8" s="221"/>
      <c r="D8" s="221"/>
      <c r="E8" s="221"/>
      <c r="F8" s="221"/>
      <c r="G8" s="221"/>
      <c r="H8" s="221"/>
      <c r="I8" s="221"/>
      <c r="J8" s="222"/>
    </row>
    <row r="9" spans="2:16" ht="15.75" thickBot="1">
      <c r="B9" s="223"/>
      <c r="C9" s="224"/>
      <c r="D9" s="224"/>
      <c r="E9" s="224"/>
      <c r="F9" s="224"/>
      <c r="G9" s="224"/>
      <c r="H9" s="224"/>
      <c r="I9" s="224"/>
      <c r="J9" s="225"/>
    </row>
    <row r="10" spans="2:16">
      <c r="J10" s="7"/>
    </row>
    <row r="11" spans="2:16">
      <c r="B11" t="s">
        <v>252</v>
      </c>
      <c r="C11" s="6" t="s">
        <v>253</v>
      </c>
      <c r="J11" s="7"/>
    </row>
    <row r="12" spans="2:16">
      <c r="B12" t="s">
        <v>65</v>
      </c>
      <c r="C12">
        <v>1.1000000000000001</v>
      </c>
      <c r="J12" s="7"/>
    </row>
    <row r="13" spans="2:16">
      <c r="B13" t="s">
        <v>68</v>
      </c>
      <c r="C13">
        <v>0.4</v>
      </c>
    </row>
    <row r="14" spans="2:16">
      <c r="B14" t="s">
        <v>254</v>
      </c>
      <c r="C14">
        <v>0.3</v>
      </c>
    </row>
    <row r="15" spans="2:16">
      <c r="B15" t="s">
        <v>255</v>
      </c>
      <c r="C15">
        <v>0.4</v>
      </c>
    </row>
    <row r="16" spans="2:16">
      <c r="B16" t="s">
        <v>70</v>
      </c>
      <c r="C16">
        <f>C15</f>
        <v>0.4</v>
      </c>
    </row>
    <row r="17" spans="2:13">
      <c r="B17" t="s">
        <v>72</v>
      </c>
      <c r="C17">
        <f>C15</f>
        <v>0.4</v>
      </c>
    </row>
    <row r="18" spans="2:13">
      <c r="B18" t="s">
        <v>63</v>
      </c>
      <c r="C18">
        <f>AVERAGE(C12:C13)</f>
        <v>0.75</v>
      </c>
    </row>
    <row r="19" spans="2:13">
      <c r="B19" t="s">
        <v>81</v>
      </c>
      <c r="C19">
        <f>C12</f>
        <v>1.1000000000000001</v>
      </c>
    </row>
    <row r="20" spans="2:13">
      <c r="B20" t="s">
        <v>89</v>
      </c>
      <c r="C20">
        <f>C19</f>
        <v>1.1000000000000001</v>
      </c>
    </row>
    <row r="21" spans="2:13">
      <c r="B21" t="s">
        <v>92</v>
      </c>
      <c r="C21">
        <f t="shared" ref="C21:C38" si="2">C20</f>
        <v>1.1000000000000001</v>
      </c>
    </row>
    <row r="22" spans="2:13">
      <c r="B22" t="s">
        <v>93</v>
      </c>
      <c r="C22">
        <f t="shared" si="2"/>
        <v>1.1000000000000001</v>
      </c>
      <c r="M22" s="9"/>
    </row>
    <row r="23" spans="2:13">
      <c r="B23" t="s">
        <v>94</v>
      </c>
      <c r="C23">
        <f t="shared" si="2"/>
        <v>1.1000000000000001</v>
      </c>
      <c r="M23" s="9"/>
    </row>
    <row r="24" spans="2:13">
      <c r="B24" t="s">
        <v>100</v>
      </c>
      <c r="C24">
        <f t="shared" si="2"/>
        <v>1.1000000000000001</v>
      </c>
    </row>
    <row r="25" spans="2:13">
      <c r="B25" t="s">
        <v>103</v>
      </c>
      <c r="C25">
        <f t="shared" si="2"/>
        <v>1.1000000000000001</v>
      </c>
    </row>
    <row r="26" spans="2:13">
      <c r="B26" t="s">
        <v>104</v>
      </c>
      <c r="C26">
        <f t="shared" si="2"/>
        <v>1.1000000000000001</v>
      </c>
    </row>
    <row r="27" spans="2:13">
      <c r="B27" t="s">
        <v>107</v>
      </c>
      <c r="C27">
        <f t="shared" si="2"/>
        <v>1.1000000000000001</v>
      </c>
    </row>
    <row r="28" spans="2:13">
      <c r="B28" t="s">
        <v>108</v>
      </c>
      <c r="C28">
        <f t="shared" si="2"/>
        <v>1.1000000000000001</v>
      </c>
    </row>
    <row r="29" spans="2:13">
      <c r="B29" t="s">
        <v>109</v>
      </c>
      <c r="C29">
        <f t="shared" si="2"/>
        <v>1.1000000000000001</v>
      </c>
    </row>
    <row r="30" spans="2:13">
      <c r="B30" t="s">
        <v>113</v>
      </c>
      <c r="C30">
        <f t="shared" si="2"/>
        <v>1.1000000000000001</v>
      </c>
    </row>
    <row r="31" spans="2:13">
      <c r="B31" t="s">
        <v>114</v>
      </c>
      <c r="C31">
        <f t="shared" si="2"/>
        <v>1.1000000000000001</v>
      </c>
    </row>
    <row r="32" spans="2:13">
      <c r="B32" t="s">
        <v>117</v>
      </c>
      <c r="C32">
        <f t="shared" si="2"/>
        <v>1.1000000000000001</v>
      </c>
    </row>
    <row r="33" spans="2:3">
      <c r="B33" t="s">
        <v>119</v>
      </c>
      <c r="C33">
        <f t="shared" si="2"/>
        <v>1.1000000000000001</v>
      </c>
    </row>
    <row r="34" spans="2:3">
      <c r="B34" t="s">
        <v>121</v>
      </c>
      <c r="C34">
        <f t="shared" si="2"/>
        <v>1.1000000000000001</v>
      </c>
    </row>
    <row r="35" spans="2:3">
      <c r="B35" t="s">
        <v>124</v>
      </c>
      <c r="C35">
        <f t="shared" si="2"/>
        <v>1.1000000000000001</v>
      </c>
    </row>
    <row r="36" spans="2:3">
      <c r="B36" t="s">
        <v>122</v>
      </c>
      <c r="C36">
        <f t="shared" si="2"/>
        <v>1.1000000000000001</v>
      </c>
    </row>
    <row r="37" spans="2:3">
      <c r="B37" t="s">
        <v>125</v>
      </c>
      <c r="C37">
        <f t="shared" si="2"/>
        <v>1.1000000000000001</v>
      </c>
    </row>
    <row r="38" spans="2:3">
      <c r="B38" t="s">
        <v>126</v>
      </c>
      <c r="C38">
        <f t="shared" si="2"/>
        <v>1.1000000000000001</v>
      </c>
    </row>
    <row r="39" spans="2:3">
      <c r="B39" t="s">
        <v>76</v>
      </c>
      <c r="C39">
        <f>C13</f>
        <v>0.4</v>
      </c>
    </row>
    <row r="40" spans="2:3">
      <c r="B40" t="s">
        <v>79</v>
      </c>
      <c r="C40">
        <f>C39</f>
        <v>0.4</v>
      </c>
    </row>
    <row r="41" spans="2:3">
      <c r="B41" t="s">
        <v>83</v>
      </c>
      <c r="C41">
        <f t="shared" ref="C41:C55" si="3">C40</f>
        <v>0.4</v>
      </c>
    </row>
    <row r="42" spans="2:3">
      <c r="B42" t="s">
        <v>90</v>
      </c>
      <c r="C42">
        <f t="shared" si="3"/>
        <v>0.4</v>
      </c>
    </row>
    <row r="43" spans="2:3">
      <c r="B43" t="s">
        <v>96</v>
      </c>
      <c r="C43">
        <f t="shared" si="3"/>
        <v>0.4</v>
      </c>
    </row>
    <row r="44" spans="2:3">
      <c r="B44" t="s">
        <v>97</v>
      </c>
      <c r="C44">
        <f t="shared" si="3"/>
        <v>0.4</v>
      </c>
    </row>
    <row r="45" spans="2:3">
      <c r="B45" t="s">
        <v>98</v>
      </c>
      <c r="C45">
        <f t="shared" si="3"/>
        <v>0.4</v>
      </c>
    </row>
    <row r="46" spans="2:3">
      <c r="B46" t="s">
        <v>99</v>
      </c>
      <c r="C46">
        <f t="shared" si="3"/>
        <v>0.4</v>
      </c>
    </row>
    <row r="47" spans="2:3">
      <c r="B47" t="s">
        <v>102</v>
      </c>
      <c r="C47">
        <f t="shared" si="3"/>
        <v>0.4</v>
      </c>
    </row>
    <row r="48" spans="2:3">
      <c r="B48" t="s">
        <v>105</v>
      </c>
      <c r="C48">
        <f t="shared" si="3"/>
        <v>0.4</v>
      </c>
    </row>
    <row r="49" spans="2:3">
      <c r="B49" t="s">
        <v>106</v>
      </c>
      <c r="C49">
        <f t="shared" si="3"/>
        <v>0.4</v>
      </c>
    </row>
    <row r="50" spans="2:3">
      <c r="B50" t="s">
        <v>111</v>
      </c>
      <c r="C50">
        <f t="shared" si="3"/>
        <v>0.4</v>
      </c>
    </row>
    <row r="51" spans="2:3">
      <c r="B51" t="s">
        <v>112</v>
      </c>
      <c r="C51">
        <f t="shared" si="3"/>
        <v>0.4</v>
      </c>
    </row>
    <row r="52" spans="2:3">
      <c r="B52" t="s">
        <v>115</v>
      </c>
      <c r="C52">
        <f t="shared" si="3"/>
        <v>0.4</v>
      </c>
    </row>
    <row r="53" spans="2:3">
      <c r="B53" t="s">
        <v>116</v>
      </c>
      <c r="C53">
        <f t="shared" si="3"/>
        <v>0.4</v>
      </c>
    </row>
    <row r="54" spans="2:3">
      <c r="B54" t="s">
        <v>118</v>
      </c>
      <c r="C54">
        <f t="shared" si="3"/>
        <v>0.4</v>
      </c>
    </row>
    <row r="55" spans="2:3">
      <c r="B55" t="s">
        <v>123</v>
      </c>
      <c r="C55">
        <f t="shared" si="3"/>
        <v>0.4</v>
      </c>
    </row>
    <row r="56" spans="2:3">
      <c r="B56" t="s">
        <v>74</v>
      </c>
      <c r="C56">
        <f>C15</f>
        <v>0.4</v>
      </c>
    </row>
    <row r="57" spans="2:3">
      <c r="B57" t="s">
        <v>78</v>
      </c>
      <c r="C57">
        <f>C56</f>
        <v>0.4</v>
      </c>
    </row>
    <row r="58" spans="2:3">
      <c r="B58" t="s">
        <v>85</v>
      </c>
      <c r="C58">
        <f t="shared" ref="C58:C66" si="4">C57</f>
        <v>0.4</v>
      </c>
    </row>
    <row r="59" spans="2:3">
      <c r="B59" t="s">
        <v>86</v>
      </c>
      <c r="C59">
        <f t="shared" si="4"/>
        <v>0.4</v>
      </c>
    </row>
    <row r="60" spans="2:3">
      <c r="B60" t="s">
        <v>87</v>
      </c>
      <c r="C60">
        <f t="shared" si="4"/>
        <v>0.4</v>
      </c>
    </row>
    <row r="61" spans="2:3">
      <c r="B61" t="s">
        <v>88</v>
      </c>
      <c r="C61">
        <f t="shared" si="4"/>
        <v>0.4</v>
      </c>
    </row>
    <row r="62" spans="2:3">
      <c r="B62" t="s">
        <v>91</v>
      </c>
      <c r="C62">
        <f t="shared" si="4"/>
        <v>0.4</v>
      </c>
    </row>
    <row r="63" spans="2:3">
      <c r="B63" t="s">
        <v>95</v>
      </c>
      <c r="C63">
        <f t="shared" si="4"/>
        <v>0.4</v>
      </c>
    </row>
    <row r="64" spans="2:3">
      <c r="B64" t="s">
        <v>101</v>
      </c>
      <c r="C64">
        <f t="shared" si="4"/>
        <v>0.4</v>
      </c>
    </row>
    <row r="65" spans="2:3">
      <c r="B65" t="s">
        <v>110</v>
      </c>
      <c r="C65">
        <f t="shared" si="4"/>
        <v>0.4</v>
      </c>
    </row>
    <row r="66" spans="2:3">
      <c r="B66" t="s">
        <v>120</v>
      </c>
      <c r="C66">
        <f t="shared" si="4"/>
        <v>0.4</v>
      </c>
    </row>
  </sheetData>
  <sheetProtection algorithmName="SHA-512" hashValue="2+cpZYwFtXVYO4JquHQg6oatOgUGqAtzi9BSJPPM71+JLxmPrZp8MQoZzH4GlFNlYmIPxoCZvUZ7d5Qo53PBkQ==" saltValue="xj5BUwwfrwhh7RCee6vXbw==" spinCount="100000" sheet="1" objects="1" scenarios="1"/>
  <protectedRanges>
    <protectedRange algorithmName="SHA-512" hashValue="/eLq+FJHEI2ZR1qGcphS7KNbCqPRSb4CA0390TI4ny/epJjS+/eWW3YavjpUHWTr9Bd3J2qT+zAblA3RHnTrrw==" saltValue="U9jHH6nY5GCGxjVN5Is/bQ==" spinCount="100000" sqref="N2:N4" name="Range1"/>
  </protectedRanges>
  <mergeCells count="2">
    <mergeCell ref="N1:P1"/>
    <mergeCell ref="B7:J9"/>
  </mergeCells>
  <hyperlinks>
    <hyperlink ref="G1" location="_ftn1" display="_ftn1" xr:uid="{D65B93B8-ADE7-482F-84E6-D98A6B758418}"/>
  </hyperlinks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DB99C-1244-48CA-A899-8CBFF6EA1F66}">
  <sheetPr>
    <tabColor theme="4"/>
  </sheetPr>
  <dimension ref="B1:C57"/>
  <sheetViews>
    <sheetView zoomScale="70" zoomScaleNormal="70" workbookViewId="0">
      <selection activeCell="C4" sqref="C4"/>
    </sheetView>
  </sheetViews>
  <sheetFormatPr defaultRowHeight="15"/>
  <cols>
    <col min="2" max="2" width="23.140625" customWidth="1"/>
  </cols>
  <sheetData>
    <row r="1" spans="2:3">
      <c r="B1" t="s">
        <v>256</v>
      </c>
      <c r="C1" t="s">
        <v>257</v>
      </c>
    </row>
    <row r="2" spans="2:3">
      <c r="B2" s="3" t="s">
        <v>252</v>
      </c>
    </row>
    <row r="3" spans="2:3">
      <c r="B3" t="s">
        <v>65</v>
      </c>
      <c r="C3" s="85">
        <v>1</v>
      </c>
    </row>
    <row r="4" spans="2:3">
      <c r="B4" t="s">
        <v>68</v>
      </c>
      <c r="C4" s="85">
        <v>1</v>
      </c>
    </row>
    <row r="5" spans="2:3">
      <c r="B5" t="s">
        <v>254</v>
      </c>
      <c r="C5" s="85">
        <v>1</v>
      </c>
    </row>
    <row r="6" spans="2:3">
      <c r="B6" t="s">
        <v>255</v>
      </c>
      <c r="C6" s="85">
        <v>1</v>
      </c>
    </row>
    <row r="7" spans="2:3">
      <c r="B7" t="s">
        <v>70</v>
      </c>
      <c r="C7" s="85">
        <v>1</v>
      </c>
    </row>
    <row r="8" spans="2:3">
      <c r="B8" t="s">
        <v>72</v>
      </c>
      <c r="C8" s="85">
        <v>1</v>
      </c>
    </row>
    <row r="9" spans="2:3">
      <c r="B9" t="s">
        <v>63</v>
      </c>
      <c r="C9" s="85">
        <v>1</v>
      </c>
    </row>
    <row r="10" spans="2:3">
      <c r="B10" t="s">
        <v>81</v>
      </c>
      <c r="C10" s="85">
        <v>1</v>
      </c>
    </row>
    <row r="11" spans="2:3">
      <c r="B11" t="s">
        <v>89</v>
      </c>
      <c r="C11" s="85">
        <v>1</v>
      </c>
    </row>
    <row r="12" spans="2:3">
      <c r="B12" t="s">
        <v>92</v>
      </c>
      <c r="C12" s="85">
        <v>1</v>
      </c>
    </row>
    <row r="13" spans="2:3">
      <c r="B13" t="s">
        <v>93</v>
      </c>
      <c r="C13" s="85">
        <v>1</v>
      </c>
    </row>
    <row r="14" spans="2:3">
      <c r="B14" t="s">
        <v>94</v>
      </c>
      <c r="C14" s="85">
        <v>1</v>
      </c>
    </row>
    <row r="15" spans="2:3">
      <c r="B15" t="s">
        <v>100</v>
      </c>
      <c r="C15" s="85">
        <v>1</v>
      </c>
    </row>
    <row r="16" spans="2:3">
      <c r="B16" t="s">
        <v>103</v>
      </c>
      <c r="C16" s="85">
        <v>1</v>
      </c>
    </row>
    <row r="17" spans="2:3">
      <c r="B17" t="s">
        <v>104</v>
      </c>
      <c r="C17" s="85">
        <v>1</v>
      </c>
    </row>
    <row r="18" spans="2:3">
      <c r="B18" t="s">
        <v>107</v>
      </c>
      <c r="C18" s="85">
        <v>1</v>
      </c>
    </row>
    <row r="19" spans="2:3">
      <c r="B19" t="s">
        <v>108</v>
      </c>
      <c r="C19" s="85">
        <v>1</v>
      </c>
    </row>
    <row r="20" spans="2:3">
      <c r="B20" t="s">
        <v>109</v>
      </c>
      <c r="C20" s="85">
        <v>1</v>
      </c>
    </row>
    <row r="21" spans="2:3">
      <c r="B21" t="s">
        <v>113</v>
      </c>
      <c r="C21" s="85">
        <v>1</v>
      </c>
    </row>
    <row r="22" spans="2:3">
      <c r="B22" t="s">
        <v>114</v>
      </c>
      <c r="C22" s="85">
        <v>1</v>
      </c>
    </row>
    <row r="23" spans="2:3">
      <c r="B23" t="s">
        <v>117</v>
      </c>
      <c r="C23" s="85">
        <v>1</v>
      </c>
    </row>
    <row r="24" spans="2:3">
      <c r="B24" t="s">
        <v>119</v>
      </c>
      <c r="C24" s="85">
        <v>1</v>
      </c>
    </row>
    <row r="25" spans="2:3">
      <c r="B25" t="s">
        <v>121</v>
      </c>
      <c r="C25" s="85">
        <v>1</v>
      </c>
    </row>
    <row r="26" spans="2:3">
      <c r="B26" t="s">
        <v>124</v>
      </c>
      <c r="C26" s="85">
        <v>1</v>
      </c>
    </row>
    <row r="27" spans="2:3">
      <c r="B27" t="s">
        <v>122</v>
      </c>
      <c r="C27" s="85">
        <v>1</v>
      </c>
    </row>
    <row r="28" spans="2:3">
      <c r="B28" t="s">
        <v>125</v>
      </c>
      <c r="C28" s="85">
        <v>1</v>
      </c>
    </row>
    <row r="29" spans="2:3">
      <c r="B29" t="s">
        <v>126</v>
      </c>
      <c r="C29" s="85">
        <v>1</v>
      </c>
    </row>
    <row r="30" spans="2:3">
      <c r="B30" t="s">
        <v>76</v>
      </c>
      <c r="C30" s="85">
        <v>1</v>
      </c>
    </row>
    <row r="31" spans="2:3">
      <c r="B31" t="s">
        <v>79</v>
      </c>
      <c r="C31" s="85">
        <v>1</v>
      </c>
    </row>
    <row r="32" spans="2:3">
      <c r="B32" t="s">
        <v>83</v>
      </c>
      <c r="C32" s="85">
        <v>1</v>
      </c>
    </row>
    <row r="33" spans="2:3">
      <c r="B33" t="s">
        <v>90</v>
      </c>
      <c r="C33" s="85">
        <v>1</v>
      </c>
    </row>
    <row r="34" spans="2:3">
      <c r="B34" t="s">
        <v>96</v>
      </c>
      <c r="C34" s="85">
        <v>1</v>
      </c>
    </row>
    <row r="35" spans="2:3">
      <c r="B35" t="s">
        <v>97</v>
      </c>
      <c r="C35" s="85">
        <v>1</v>
      </c>
    </row>
    <row r="36" spans="2:3">
      <c r="B36" t="s">
        <v>98</v>
      </c>
      <c r="C36" s="85">
        <v>1</v>
      </c>
    </row>
    <row r="37" spans="2:3">
      <c r="B37" t="s">
        <v>99</v>
      </c>
      <c r="C37" s="85">
        <v>1</v>
      </c>
    </row>
    <row r="38" spans="2:3">
      <c r="B38" t="s">
        <v>102</v>
      </c>
      <c r="C38" s="85">
        <v>1</v>
      </c>
    </row>
    <row r="39" spans="2:3">
      <c r="B39" t="s">
        <v>105</v>
      </c>
      <c r="C39" s="85">
        <v>1</v>
      </c>
    </row>
    <row r="40" spans="2:3">
      <c r="B40" t="s">
        <v>106</v>
      </c>
      <c r="C40" s="85">
        <v>1</v>
      </c>
    </row>
    <row r="41" spans="2:3">
      <c r="B41" t="s">
        <v>111</v>
      </c>
      <c r="C41" s="85">
        <v>1</v>
      </c>
    </row>
    <row r="42" spans="2:3">
      <c r="B42" t="s">
        <v>112</v>
      </c>
      <c r="C42" s="85">
        <v>1</v>
      </c>
    </row>
    <row r="43" spans="2:3">
      <c r="B43" t="s">
        <v>115</v>
      </c>
      <c r="C43" s="85">
        <v>1</v>
      </c>
    </row>
    <row r="44" spans="2:3">
      <c r="B44" t="s">
        <v>116</v>
      </c>
      <c r="C44" s="85">
        <v>1</v>
      </c>
    </row>
    <row r="45" spans="2:3">
      <c r="B45" t="s">
        <v>118</v>
      </c>
      <c r="C45" s="85">
        <v>1</v>
      </c>
    </row>
    <row r="46" spans="2:3">
      <c r="B46" t="s">
        <v>123</v>
      </c>
      <c r="C46" s="85">
        <v>1</v>
      </c>
    </row>
    <row r="47" spans="2:3">
      <c r="B47" t="s">
        <v>74</v>
      </c>
      <c r="C47" s="85">
        <v>1</v>
      </c>
    </row>
    <row r="48" spans="2:3">
      <c r="B48" t="s">
        <v>78</v>
      </c>
      <c r="C48" s="85">
        <v>1</v>
      </c>
    </row>
    <row r="49" spans="2:3">
      <c r="B49" t="s">
        <v>85</v>
      </c>
      <c r="C49" s="85">
        <v>1</v>
      </c>
    </row>
    <row r="50" spans="2:3">
      <c r="B50" t="s">
        <v>86</v>
      </c>
      <c r="C50" s="85">
        <v>1</v>
      </c>
    </row>
    <row r="51" spans="2:3">
      <c r="B51" t="s">
        <v>87</v>
      </c>
      <c r="C51" s="85">
        <v>1</v>
      </c>
    </row>
    <row r="52" spans="2:3">
      <c r="B52" t="s">
        <v>88</v>
      </c>
      <c r="C52" s="85">
        <v>1</v>
      </c>
    </row>
    <row r="53" spans="2:3">
      <c r="B53" t="s">
        <v>91</v>
      </c>
      <c r="C53" s="85">
        <v>1</v>
      </c>
    </row>
    <row r="54" spans="2:3">
      <c r="B54" t="s">
        <v>95</v>
      </c>
      <c r="C54" s="85">
        <v>1</v>
      </c>
    </row>
    <row r="55" spans="2:3">
      <c r="B55" t="s">
        <v>101</v>
      </c>
      <c r="C55" s="85">
        <v>1</v>
      </c>
    </row>
    <row r="56" spans="2:3">
      <c r="B56" t="s">
        <v>110</v>
      </c>
      <c r="C56" s="85">
        <v>1</v>
      </c>
    </row>
    <row r="57" spans="2:3">
      <c r="B57" t="s">
        <v>120</v>
      </c>
      <c r="C57" s="85">
        <v>1</v>
      </c>
    </row>
  </sheetData>
  <sheetProtection algorithmName="SHA-512" hashValue="NcxT53yZ4OSoPop8UejOCrCfUGn4Iwk5ilGyBaxfF1s4LvTn1N9jHs4Y788F86PpWSHg86V65K/gnnHUA22vXw==" saltValue="2vnCHp+dpTUPEbmXdLm60A==" spinCount="100000" sheet="1" objects="1" scenarios="1"/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A641-6516-4E9B-888F-717474D66E26}">
  <sheetPr>
    <tabColor theme="7"/>
  </sheetPr>
  <dimension ref="A1:H11"/>
  <sheetViews>
    <sheetView workbookViewId="0">
      <selection activeCell="B12" sqref="B12"/>
    </sheetView>
  </sheetViews>
  <sheetFormatPr defaultRowHeight="15"/>
  <cols>
    <col min="1" max="1" width="20.140625" customWidth="1"/>
    <col min="3" max="3" width="15.5703125" customWidth="1"/>
    <col min="4" max="5" width="20.140625" customWidth="1"/>
    <col min="6" max="6" width="26.140625" customWidth="1"/>
    <col min="7" max="7" width="13.28515625" bestFit="1" customWidth="1"/>
  </cols>
  <sheetData>
    <row r="1" spans="1:8">
      <c r="A1" s="170" t="s">
        <v>258</v>
      </c>
      <c r="F1" s="170" t="s">
        <v>259</v>
      </c>
    </row>
    <row r="2" spans="1:8">
      <c r="A2" s="3" t="s">
        <v>260</v>
      </c>
      <c r="B2" s="3" t="s">
        <v>204</v>
      </c>
      <c r="F2" s="3" t="s">
        <v>260</v>
      </c>
      <c r="G2" s="3" t="s">
        <v>204</v>
      </c>
    </row>
    <row r="3" spans="1:8">
      <c r="A3" t="s">
        <v>25</v>
      </c>
      <c r="B3" s="171">
        <f>(4*9*4*365)/1000</f>
        <v>52.56</v>
      </c>
      <c r="C3" t="s">
        <v>261</v>
      </c>
      <c r="F3" t="s">
        <v>25</v>
      </c>
      <c r="G3">
        <f>(4*9*4*365)/1000</f>
        <v>52.56</v>
      </c>
      <c r="H3" t="s">
        <v>261</v>
      </c>
    </row>
    <row r="4" spans="1:8">
      <c r="A4" t="s">
        <v>262</v>
      </c>
      <c r="B4">
        <f>2*182*0.01</f>
        <v>3.64</v>
      </c>
      <c r="C4" t="s">
        <v>263</v>
      </c>
      <c r="F4" t="s">
        <v>262</v>
      </c>
      <c r="G4">
        <f>2*182*0.01</f>
        <v>3.64</v>
      </c>
      <c r="H4" t="s">
        <v>263</v>
      </c>
    </row>
    <row r="5" spans="1:8">
      <c r="A5" t="s">
        <v>264</v>
      </c>
      <c r="B5">
        <f>(10*6*365)/10000</f>
        <v>2.19</v>
      </c>
      <c r="C5" t="s">
        <v>265</v>
      </c>
      <c r="F5" t="s">
        <v>264</v>
      </c>
      <c r="G5">
        <f>(10*6*365)/10000</f>
        <v>2.19</v>
      </c>
      <c r="H5" t="s">
        <v>265</v>
      </c>
    </row>
    <row r="6" spans="1:8">
      <c r="F6" t="s">
        <v>266</v>
      </c>
      <c r="G6">
        <f>(30*6*365)/1000</f>
        <v>65.7</v>
      </c>
      <c r="H6" t="s">
        <v>267</v>
      </c>
    </row>
    <row r="7" spans="1:8">
      <c r="A7" t="s">
        <v>268</v>
      </c>
      <c r="B7" s="171">
        <f>SUM(B3:B6)</f>
        <v>58.39</v>
      </c>
      <c r="C7" t="s">
        <v>43</v>
      </c>
      <c r="F7" t="s">
        <v>268</v>
      </c>
      <c r="G7">
        <f>SUM(G3:G6)</f>
        <v>124.09</v>
      </c>
    </row>
    <row r="10" spans="1:8">
      <c r="A10" t="s">
        <v>269</v>
      </c>
      <c r="B10">
        <f>(B7/365)*1000</f>
        <v>159.97260273972603</v>
      </c>
      <c r="C10" t="s">
        <v>270</v>
      </c>
      <c r="F10" t="s">
        <v>269</v>
      </c>
      <c r="G10">
        <f>(G7/365)*1000</f>
        <v>339.97260273972603</v>
      </c>
      <c r="H10" t="s">
        <v>270</v>
      </c>
    </row>
    <row r="11" spans="1:8">
      <c r="G11" s="7"/>
    </row>
  </sheetData>
  <sheetProtection algorithmName="SHA-512" hashValue="LodylO7xi/lYpavcADTBwv1X4b9Xr5jkyd2J1JfpiYQzQFmxY9cV3C4Cl15DJzybcDOd0b9o9HdUaUre+g1OUg==" saltValue="X4rKVCCjmfChVB2y+dgcyA==" spinCount="100000" sheet="1" objects="1" scenarios="1"/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418c1687-f2b4-4c60-bff4-9f013a1b0e9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561D1A5621A2498CEC3D8456AF0272" ma:contentTypeVersion="14" ma:contentTypeDescription="Create a new document." ma:contentTypeScope="" ma:versionID="345d2720e5ee46e882f54be39405b041">
  <xsd:schema xmlns:xsd="http://www.w3.org/2001/XMLSchema" xmlns:xs="http://www.w3.org/2001/XMLSchema" xmlns:p="http://schemas.microsoft.com/office/2006/metadata/properties" xmlns:ns2="dd8682f3-14aa-4a86-bc0b-a7c76dafad6d" xmlns:ns3="418c1687-f2b4-4c60-bff4-9f013a1b0e9b" targetNamespace="http://schemas.microsoft.com/office/2006/metadata/properties" ma:root="true" ma:fieldsID="42270a2b23660618a32249078f1e1be7" ns2:_="" ns3:_="">
    <xsd:import namespace="dd8682f3-14aa-4a86-bc0b-a7c76dafad6d"/>
    <xsd:import namespace="418c1687-f2b4-4c60-bff4-9f013a1b0e9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Dat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682f3-14aa-4a86-bc0b-a7c76dafad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c1687-f2b4-4c60-bff4-9f013a1b0e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e" ma:index="20" nillable="true" ma:displayName="Date" ma:format="DateTime" ma:internalName="Date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D20709-D6C6-4FB7-97BE-6B49BE664C4D}"/>
</file>

<file path=customXml/itemProps2.xml><?xml version="1.0" encoding="utf-8"?>
<ds:datastoreItem xmlns:ds="http://schemas.openxmlformats.org/officeDocument/2006/customXml" ds:itemID="{61B3A941-B136-4EF6-80F0-FEFE54D0DE3B}"/>
</file>

<file path=customXml/itemProps3.xml><?xml version="1.0" encoding="utf-8"?>
<ds:datastoreItem xmlns:ds="http://schemas.openxmlformats.org/officeDocument/2006/customXml" ds:itemID="{E853FAFA-C084-4ACD-B1FC-ED8C35E2D8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Naomi</dc:creator>
  <cp:keywords/>
  <dc:description/>
  <cp:lastModifiedBy/>
  <cp:revision/>
  <dcterms:created xsi:type="dcterms:W3CDTF">2020-06-02T17:23:25Z</dcterms:created>
  <dcterms:modified xsi:type="dcterms:W3CDTF">2021-08-02T12:21:35Z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0x01010071561D1A5621A2498CEC3D8456AF0272</vt:lpwstr>
  </property>
</Properties>
</file>